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hui\Dropbox (TSU_Ecology)\TSU\2016Fall_Biol4120\Lab\"/>
    </mc:Choice>
  </mc:AlternateContent>
  <bookViews>
    <workbookView xWindow="0" yWindow="0" windowWidth="24000" windowHeight="14235" activeTab="3"/>
  </bookViews>
  <sheets>
    <sheet name="Data oct252016_" sheetId="1" r:id="rId1"/>
    <sheet name="Rawdata" sheetId="3" r:id="rId2"/>
    <sheet name="Data4ANOVA" sheetId="2" r:id="rId3"/>
    <sheet name="ANOVA_Photo" sheetId="5" r:id="rId4"/>
    <sheet name="ANOVA_Transpiration" sheetId="7" r:id="rId5"/>
  </sheets>
  <calcPr calcId="152511"/>
</workbook>
</file>

<file path=xl/calcChain.xml><?xml version="1.0" encoding="utf-8"?>
<calcChain xmlns="http://schemas.openxmlformats.org/spreadsheetml/2006/main">
  <c r="AW21" i="3" l="1"/>
  <c r="AT21" i="3"/>
  <c r="AU21" i="3" s="1"/>
  <c r="AX21" i="3" s="1"/>
  <c r="AO21" i="3"/>
  <c r="AN21" i="3"/>
  <c r="AM21" i="3"/>
  <c r="AK21" i="3"/>
  <c r="AL21" i="3" s="1"/>
  <c r="L21" i="3"/>
  <c r="N21" i="3" s="1"/>
  <c r="E21" i="3"/>
  <c r="AW19" i="3"/>
  <c r="AT19" i="3"/>
  <c r="AU19" i="3" s="1"/>
  <c r="AX19" i="3" s="1"/>
  <c r="AO19" i="3"/>
  <c r="AN19" i="3"/>
  <c r="AM19" i="3"/>
  <c r="AK19" i="3"/>
  <c r="AL19" i="3" s="1"/>
  <c r="L19" i="3"/>
  <c r="N19" i="3" s="1"/>
  <c r="E19" i="3"/>
  <c r="AW16" i="3"/>
  <c r="AT16" i="3"/>
  <c r="AU16" i="3" s="1"/>
  <c r="AX16" i="3" s="1"/>
  <c r="AO16" i="3"/>
  <c r="AN16" i="3"/>
  <c r="AM16" i="3"/>
  <c r="AK16" i="3"/>
  <c r="AL16" i="3" s="1"/>
  <c r="L16" i="3"/>
  <c r="N16" i="3" s="1"/>
  <c r="E16" i="3"/>
  <c r="AW14" i="3"/>
  <c r="AT14" i="3"/>
  <c r="AU14" i="3" s="1"/>
  <c r="AX14" i="3" s="1"/>
  <c r="AO14" i="3"/>
  <c r="AN14" i="3"/>
  <c r="AM14" i="3"/>
  <c r="AK14" i="3"/>
  <c r="AL14" i="3" s="1"/>
  <c r="L14" i="3"/>
  <c r="N14" i="3" s="1"/>
  <c r="E14" i="3"/>
  <c r="AW11" i="3"/>
  <c r="AT11" i="3"/>
  <c r="AU11" i="3" s="1"/>
  <c r="AX11" i="3" s="1"/>
  <c r="AO11" i="3"/>
  <c r="AN11" i="3"/>
  <c r="AM11" i="3"/>
  <c r="AK11" i="3"/>
  <c r="AL11" i="3" s="1"/>
  <c r="L11" i="3"/>
  <c r="N11" i="3" s="1"/>
  <c r="E11" i="3"/>
  <c r="L15" i="1"/>
  <c r="N15" i="1"/>
  <c r="AK15" i="1"/>
  <c r="E15" i="1" s="1"/>
  <c r="AM15" i="1"/>
  <c r="AN15" i="1"/>
  <c r="AO15" i="1"/>
  <c r="AT15" i="1"/>
  <c r="AU15" i="1"/>
  <c r="AX15" i="1" s="1"/>
  <c r="AW15" i="1"/>
  <c r="L16" i="1"/>
  <c r="N16" i="1"/>
  <c r="AK16" i="1"/>
  <c r="E16" i="1" s="1"/>
  <c r="AL16" i="1"/>
  <c r="H16" i="1" s="1"/>
  <c r="AM16" i="1"/>
  <c r="AN16" i="1"/>
  <c r="AP16" i="1" s="1"/>
  <c r="J16" i="1" s="1"/>
  <c r="AQ16" i="1" s="1"/>
  <c r="AO16" i="1"/>
  <c r="AT16" i="1"/>
  <c r="AU16" i="1"/>
  <c r="AW16" i="1"/>
  <c r="L17" i="1"/>
  <c r="N17" i="1"/>
  <c r="AK17" i="1"/>
  <c r="E17" i="1" s="1"/>
  <c r="AM17" i="1"/>
  <c r="AN17" i="1"/>
  <c r="AO17" i="1"/>
  <c r="AT17" i="1"/>
  <c r="AU17" i="1"/>
  <c r="AW17" i="1"/>
  <c r="L18" i="1"/>
  <c r="N18" i="1"/>
  <c r="AK18" i="1"/>
  <c r="E18" i="1" s="1"/>
  <c r="AL18" i="1"/>
  <c r="H18" i="1" s="1"/>
  <c r="AM18" i="1"/>
  <c r="AN18" i="1"/>
  <c r="AO18" i="1"/>
  <c r="AT18" i="1"/>
  <c r="AU18" i="1" s="1"/>
  <c r="AX18" i="1" s="1"/>
  <c r="AW18" i="1"/>
  <c r="L19" i="1"/>
  <c r="N19" i="1" s="1"/>
  <c r="AK19" i="1"/>
  <c r="E19" i="1" s="1"/>
  <c r="AL19" i="1"/>
  <c r="H19" i="1" s="1"/>
  <c r="AM19" i="1"/>
  <c r="AN19" i="1"/>
  <c r="AO19" i="1"/>
  <c r="AT19" i="1"/>
  <c r="AU19" i="1"/>
  <c r="AX19" i="1" s="1"/>
  <c r="AW19" i="1"/>
  <c r="L21" i="1"/>
  <c r="N21" i="1"/>
  <c r="AK21" i="1"/>
  <c r="E21" i="1" s="1"/>
  <c r="AL21" i="1"/>
  <c r="H21" i="1" s="1"/>
  <c r="AM21" i="1"/>
  <c r="AN21" i="1"/>
  <c r="AP21" i="1" s="1"/>
  <c r="J21" i="1" s="1"/>
  <c r="AQ21" i="1" s="1"/>
  <c r="AO21" i="1"/>
  <c r="AT21" i="1"/>
  <c r="AU21" i="1"/>
  <c r="AW21" i="1"/>
  <c r="L22" i="1"/>
  <c r="N22" i="1"/>
  <c r="AK22" i="1"/>
  <c r="E22" i="1" s="1"/>
  <c r="BC22" i="1" s="1"/>
  <c r="AM22" i="1"/>
  <c r="AN22" i="1"/>
  <c r="AO22" i="1"/>
  <c r="AT22" i="1"/>
  <c r="AU22" i="1"/>
  <c r="AW22" i="1"/>
  <c r="L23" i="1"/>
  <c r="N23" i="1"/>
  <c r="AK23" i="1"/>
  <c r="E23" i="1" s="1"/>
  <c r="BC23" i="1" s="1"/>
  <c r="AM23" i="1"/>
  <c r="AN23" i="1"/>
  <c r="AO23" i="1"/>
  <c r="AT23" i="1"/>
  <c r="AU23" i="1"/>
  <c r="AW23" i="1"/>
  <c r="L24" i="1"/>
  <c r="N24" i="1"/>
  <c r="AK24" i="1"/>
  <c r="E24" i="1" s="1"/>
  <c r="AM24" i="1"/>
  <c r="AN24" i="1"/>
  <c r="AO24" i="1"/>
  <c r="AT24" i="1"/>
  <c r="AU24" i="1"/>
  <c r="AW24" i="1"/>
  <c r="L25" i="1"/>
  <c r="N25" i="1"/>
  <c r="AK25" i="1"/>
  <c r="E25" i="1" s="1"/>
  <c r="BC25" i="1" s="1"/>
  <c r="AL25" i="1"/>
  <c r="H25" i="1" s="1"/>
  <c r="AM25" i="1"/>
  <c r="AN25" i="1"/>
  <c r="AO25" i="1"/>
  <c r="AT25" i="1"/>
  <c r="AU25" i="1" s="1"/>
  <c r="AX25" i="1" s="1"/>
  <c r="AW25" i="1"/>
  <c r="AX22" i="1" l="1"/>
  <c r="AX21" i="1"/>
  <c r="AX16" i="1"/>
  <c r="AP11" i="3"/>
  <c r="J11" i="3" s="1"/>
  <c r="AQ11" i="3" s="1"/>
  <c r="AP14" i="3"/>
  <c r="J14" i="3" s="1"/>
  <c r="AQ14" i="3" s="1"/>
  <c r="AP16" i="3"/>
  <c r="J16" i="3" s="1"/>
  <c r="AQ16" i="3" s="1"/>
  <c r="AR16" i="3" s="1"/>
  <c r="AS16" i="3" s="1"/>
  <c r="AV16" i="3" s="1"/>
  <c r="F16" i="3" s="1"/>
  <c r="AY16" i="3" s="1"/>
  <c r="G16" i="3" s="1"/>
  <c r="AP19" i="3"/>
  <c r="J19" i="3" s="1"/>
  <c r="AQ19" i="3" s="1"/>
  <c r="I19" i="3" s="1"/>
  <c r="AP21" i="3"/>
  <c r="J21" i="3" s="1"/>
  <c r="AQ21" i="3" s="1"/>
  <c r="AX23" i="1"/>
  <c r="AP25" i="1"/>
  <c r="J25" i="1" s="1"/>
  <c r="AQ25" i="1" s="1"/>
  <c r="BC19" i="1"/>
  <c r="AP18" i="1"/>
  <c r="J18" i="1" s="1"/>
  <c r="AQ18" i="1" s="1"/>
  <c r="AX17" i="1"/>
  <c r="AP24" i="1"/>
  <c r="J24" i="1" s="1"/>
  <c r="AQ24" i="1" s="1"/>
  <c r="AX24" i="1"/>
  <c r="AL24" i="1"/>
  <c r="H24" i="1" s="1"/>
  <c r="AL23" i="1"/>
  <c r="H23" i="1" s="1"/>
  <c r="AL22" i="1"/>
  <c r="H22" i="1" s="1"/>
  <c r="BC21" i="1"/>
  <c r="AP19" i="1"/>
  <c r="J19" i="1" s="1"/>
  <c r="AQ19" i="1" s="1"/>
  <c r="AR19" i="1" s="1"/>
  <c r="AS19" i="1" s="1"/>
  <c r="AV19" i="1" s="1"/>
  <c r="F19" i="1" s="1"/>
  <c r="AY19" i="1" s="1"/>
  <c r="G19" i="1" s="1"/>
  <c r="AL17" i="1"/>
  <c r="H17" i="1" s="1"/>
  <c r="AR11" i="3"/>
  <c r="AS11" i="3" s="1"/>
  <c r="AV11" i="3" s="1"/>
  <c r="F11" i="3" s="1"/>
  <c r="AY11" i="3" s="1"/>
  <c r="G11" i="3" s="1"/>
  <c r="I11" i="3"/>
  <c r="AR14" i="3"/>
  <c r="AS14" i="3" s="1"/>
  <c r="AV14" i="3" s="1"/>
  <c r="F14" i="3" s="1"/>
  <c r="AY14" i="3" s="1"/>
  <c r="G14" i="3" s="1"/>
  <c r="I14" i="3"/>
  <c r="AR19" i="3"/>
  <c r="AS19" i="3" s="1"/>
  <c r="AV19" i="3" s="1"/>
  <c r="F19" i="3" s="1"/>
  <c r="AY19" i="3" s="1"/>
  <c r="G19" i="3" s="1"/>
  <c r="H11" i="3"/>
  <c r="H14" i="3"/>
  <c r="H16" i="3"/>
  <c r="H19" i="3"/>
  <c r="I16" i="3"/>
  <c r="AR21" i="3"/>
  <c r="AS21" i="3" s="1"/>
  <c r="AV21" i="3" s="1"/>
  <c r="F21" i="3" s="1"/>
  <c r="AY21" i="3" s="1"/>
  <c r="G21" i="3" s="1"/>
  <c r="I21" i="3"/>
  <c r="H21" i="3"/>
  <c r="BC11" i="3"/>
  <c r="BC14" i="3"/>
  <c r="BC16" i="3"/>
  <c r="BC19" i="3"/>
  <c r="BC21" i="3"/>
  <c r="I24" i="1"/>
  <c r="BC17" i="1"/>
  <c r="I16" i="1"/>
  <c r="AR16" i="1"/>
  <c r="AS16" i="1" s="1"/>
  <c r="AV16" i="1" s="1"/>
  <c r="F16" i="1" s="1"/>
  <c r="AY16" i="1" s="1"/>
  <c r="G16" i="1" s="1"/>
  <c r="BB16" i="1"/>
  <c r="I25" i="1"/>
  <c r="I21" i="1"/>
  <c r="BC18" i="1"/>
  <c r="BC15" i="1"/>
  <c r="AR24" i="1"/>
  <c r="AS24" i="1" s="1"/>
  <c r="AV24" i="1" s="1"/>
  <c r="F24" i="1" s="1"/>
  <c r="AY24" i="1" s="1"/>
  <c r="G24" i="1" s="1"/>
  <c r="I18" i="1"/>
  <c r="AR18" i="1"/>
  <c r="AS18" i="1" s="1"/>
  <c r="AV18" i="1" s="1"/>
  <c r="F18" i="1" s="1"/>
  <c r="AY18" i="1" s="1"/>
  <c r="G18" i="1" s="1"/>
  <c r="BC24" i="1"/>
  <c r="AR21" i="1"/>
  <c r="AS21" i="1" s="1"/>
  <c r="AV21" i="1" s="1"/>
  <c r="F21" i="1" s="1"/>
  <c r="AY21" i="1" s="1"/>
  <c r="G21" i="1" s="1"/>
  <c r="I19" i="1"/>
  <c r="BC16" i="1"/>
  <c r="AL15" i="1"/>
  <c r="AR25" i="1" l="1"/>
  <c r="AS25" i="1" s="1"/>
  <c r="AV25" i="1" s="1"/>
  <c r="F25" i="1" s="1"/>
  <c r="AY25" i="1" s="1"/>
  <c r="G25" i="1" s="1"/>
  <c r="AP17" i="1"/>
  <c r="J17" i="1" s="1"/>
  <c r="AQ17" i="1" s="1"/>
  <c r="BD16" i="1"/>
  <c r="BB18" i="1"/>
  <c r="BD18" i="1" s="1"/>
  <c r="BB24" i="1"/>
  <c r="AP22" i="1"/>
  <c r="J22" i="1" s="1"/>
  <c r="AQ22" i="1" s="1"/>
  <c r="AP23" i="1"/>
  <c r="J23" i="1" s="1"/>
  <c r="AQ23" i="1" s="1"/>
  <c r="AZ11" i="3"/>
  <c r="BA11" i="3"/>
  <c r="AZ21" i="3"/>
  <c r="BA21" i="3"/>
  <c r="AZ14" i="3"/>
  <c r="BA14" i="3"/>
  <c r="AZ16" i="3"/>
  <c r="BA16" i="3"/>
  <c r="AZ19" i="3"/>
  <c r="BA19" i="3"/>
  <c r="BB16" i="3"/>
  <c r="BD16" i="3" s="1"/>
  <c r="BB11" i="3"/>
  <c r="BD11" i="3" s="1"/>
  <c r="BB21" i="3"/>
  <c r="BD21" i="3" s="1"/>
  <c r="BB19" i="3"/>
  <c r="BD19" i="3" s="1"/>
  <c r="BB14" i="3"/>
  <c r="BD14" i="3" s="1"/>
  <c r="H15" i="1"/>
  <c r="BA19" i="1"/>
  <c r="AZ19" i="1"/>
  <c r="AP15" i="1"/>
  <c r="J15" i="1" s="1"/>
  <c r="AQ15" i="1" s="1"/>
  <c r="BA21" i="1"/>
  <c r="AZ21" i="1"/>
  <c r="BA18" i="1"/>
  <c r="AZ18" i="1"/>
  <c r="BA16" i="1"/>
  <c r="AZ16" i="1"/>
  <c r="BD24" i="1"/>
  <c r="BB19" i="1"/>
  <c r="BD19" i="1" s="1"/>
  <c r="BA25" i="1"/>
  <c r="AZ25" i="1"/>
  <c r="BA24" i="1"/>
  <c r="AZ24" i="1"/>
  <c r="BB21" i="1"/>
  <c r="BD21" i="1" s="1"/>
  <c r="I17" i="1" l="1"/>
  <c r="AR17" i="1"/>
  <c r="AS17" i="1" s="1"/>
  <c r="AV17" i="1" s="1"/>
  <c r="F17" i="1" s="1"/>
  <c r="AY17" i="1" s="1"/>
  <c r="G17" i="1" s="1"/>
  <c r="AR23" i="1"/>
  <c r="AS23" i="1" s="1"/>
  <c r="AV23" i="1" s="1"/>
  <c r="F23" i="1" s="1"/>
  <c r="I23" i="1"/>
  <c r="AR22" i="1"/>
  <c r="AS22" i="1" s="1"/>
  <c r="AV22" i="1" s="1"/>
  <c r="F22" i="1" s="1"/>
  <c r="AY22" i="1" s="1"/>
  <c r="G22" i="1" s="1"/>
  <c r="I22" i="1"/>
  <c r="BB22" i="1"/>
  <c r="BD22" i="1" s="1"/>
  <c r="BB17" i="1"/>
  <c r="BD17" i="1" s="1"/>
  <c r="BB25" i="1"/>
  <c r="BD25" i="1" s="1"/>
  <c r="I15" i="1"/>
  <c r="AR15" i="1"/>
  <c r="AS15" i="1" s="1"/>
  <c r="AV15" i="1" s="1"/>
  <c r="F15" i="1" s="1"/>
  <c r="AY23" i="1" l="1"/>
  <c r="G23" i="1" s="1"/>
  <c r="BB23" i="1"/>
  <c r="BD23" i="1" s="1"/>
  <c r="BA17" i="1"/>
  <c r="AZ17" i="1"/>
  <c r="BA22" i="1"/>
  <c r="AZ22" i="1"/>
  <c r="AY15" i="1"/>
  <c r="G15" i="1" s="1"/>
  <c r="BB15" i="1"/>
  <c r="BD15" i="1" s="1"/>
  <c r="BA23" i="1" l="1"/>
  <c r="AZ23" i="1"/>
  <c r="BA15" i="1"/>
  <c r="AZ15" i="1"/>
</calcChain>
</file>

<file path=xl/sharedStrings.xml><?xml version="1.0" encoding="utf-8"?>
<sst xmlns="http://schemas.openxmlformats.org/spreadsheetml/2006/main" count="342" uniqueCount="125">
  <si>
    <t>OPEN 6.3.2</t>
  </si>
  <si>
    <t>Thr Oct 27 2016 14:00:07</t>
  </si>
  <si>
    <t>Unit=</t>
  </si>
  <si>
    <t>PSC-2797</t>
  </si>
  <si>
    <t>LightSource=</t>
  </si>
  <si>
    <t>6400-02 or -02B LED Source</t>
  </si>
  <si>
    <t>A/D AvgTime=</t>
  </si>
  <si>
    <t>Config=</t>
  </si>
  <si>
    <t>/User/Configs/UserPrefs/LED2x3led.xml</t>
  </si>
  <si>
    <t>Remark=</t>
  </si>
  <si>
    <t>elm</t>
  </si>
  <si>
    <t>Obs</t>
  </si>
  <si>
    <t>HHMMSS</t>
  </si>
  <si>
    <t>FTime</t>
  </si>
  <si>
    <t>EBal?</t>
  </si>
  <si>
    <t>Photo</t>
  </si>
  <si>
    <t>Cond</t>
  </si>
  <si>
    <t>Ci</t>
  </si>
  <si>
    <t>Trmmol</t>
  </si>
  <si>
    <t>VpdL</t>
  </si>
  <si>
    <t>CTleaf</t>
  </si>
  <si>
    <t>Area</t>
  </si>
  <si>
    <t>BLC_1</t>
  </si>
  <si>
    <t>StmRat</t>
  </si>
  <si>
    <t>BLCond</t>
  </si>
  <si>
    <t>Tair</t>
  </si>
  <si>
    <t>Tleaf</t>
  </si>
  <si>
    <t>TBlk</t>
  </si>
  <si>
    <t>CO2R</t>
  </si>
  <si>
    <t>CO2S</t>
  </si>
  <si>
    <t>H2OR</t>
  </si>
  <si>
    <t>H2OS</t>
  </si>
  <si>
    <t>RH_R</t>
  </si>
  <si>
    <t>RH_S</t>
  </si>
  <si>
    <t>Flow</t>
  </si>
  <si>
    <t>PARi</t>
  </si>
  <si>
    <t>PARo</t>
  </si>
  <si>
    <t>Press</t>
  </si>
  <si>
    <t>CsMch</t>
  </si>
  <si>
    <t>HsMch</t>
  </si>
  <si>
    <t>StableF</t>
  </si>
  <si>
    <t>BLCslope</t>
  </si>
  <si>
    <t>BLCoffst</t>
  </si>
  <si>
    <t>f_parin</t>
  </si>
  <si>
    <t>f_parout</t>
  </si>
  <si>
    <t>alphaK</t>
  </si>
  <si>
    <t>Status</t>
  </si>
  <si>
    <t>fda</t>
  </si>
  <si>
    <t>Trans</t>
  </si>
  <si>
    <t>Tair_K</t>
  </si>
  <si>
    <t>Twall_K</t>
  </si>
  <si>
    <t>R(W/m2)</t>
  </si>
  <si>
    <t>Tl-Ta</t>
  </si>
  <si>
    <t>SVTleaf</t>
  </si>
  <si>
    <t>h2o_i</t>
  </si>
  <si>
    <t>h20diff</t>
  </si>
  <si>
    <t>CTair</t>
  </si>
  <si>
    <t>SVTair</t>
  </si>
  <si>
    <t>CndTotal</t>
  </si>
  <si>
    <t>vp_kPa</t>
  </si>
  <si>
    <t>VpdA</t>
  </si>
  <si>
    <t>CndCO2</t>
  </si>
  <si>
    <t>Ci_Pa</t>
  </si>
  <si>
    <t>Ci/Ca</t>
  </si>
  <si>
    <t>RHsfc</t>
  </si>
  <si>
    <t>C2sfc</t>
  </si>
  <si>
    <t>AHs/Cs</t>
  </si>
  <si>
    <t>in</t>
  </si>
  <si>
    <t>out</t>
  </si>
  <si>
    <t xml:space="preserve">"14:02:08 Flow: Fixed -&gt; 400 umol/s"
</t>
  </si>
  <si>
    <t xml:space="preserve">"14:02:57 Lamp: ParIn -&gt;  1500 uml"
</t>
  </si>
  <si>
    <t xml:space="preserve">"14:04:23 CO2 Mixer: CO2R -&gt; 410 uml"
</t>
  </si>
  <si>
    <t xml:space="preserve">"14:06:09 Flow: Fixed -&gt; 400 umol/s"
</t>
  </si>
  <si>
    <t>14:09:46</t>
  </si>
  <si>
    <t>14:11:49</t>
  </si>
  <si>
    <t>14:14:31</t>
  </si>
  <si>
    <t>14:16:55</t>
  </si>
  <si>
    <t>14:19:26</t>
  </si>
  <si>
    <t xml:space="preserve">"14:22:03 maple"
</t>
  </si>
  <si>
    <t>14:23:23</t>
  </si>
  <si>
    <t>14:25:47</t>
  </si>
  <si>
    <t>14:28:18</t>
  </si>
  <si>
    <t>14:29:54</t>
  </si>
  <si>
    <t>14:31:28</t>
  </si>
  <si>
    <t>Leaf</t>
  </si>
  <si>
    <t>Photosynthesis (micro mol CO2 m-2s-1)</t>
  </si>
  <si>
    <t>Transpiration (mol water m-2s-1)</t>
  </si>
  <si>
    <t>Plant species</t>
  </si>
  <si>
    <t>Maple</t>
  </si>
  <si>
    <t>Tue Oct 25 2016 14:42:27</t>
  </si>
  <si>
    <t/>
  </si>
  <si>
    <t>14:42:33</t>
  </si>
  <si>
    <t xml:space="preserve">"14:43:05 Flow: Fixed -&gt; 400 umol/s"
</t>
  </si>
  <si>
    <t xml:space="preserve">"14:43:26 leaf 2"
</t>
  </si>
  <si>
    <t>14:45:06</t>
  </si>
  <si>
    <t xml:space="preserve">"14:47:11 leaf 3"
</t>
  </si>
  <si>
    <t>14:47:12</t>
  </si>
  <si>
    <t xml:space="preserve">"14:47:38 "
</t>
  </si>
  <si>
    <t xml:space="preserve">"14:47:48 leaf 4"
</t>
  </si>
  <si>
    <t>14:48:57</t>
  </si>
  <si>
    <t xml:space="preserve">"14:50:33 leaf 5"
</t>
  </si>
  <si>
    <t>14:50:35</t>
  </si>
  <si>
    <t>Ilex</t>
  </si>
  <si>
    <t>Elm</t>
  </si>
  <si>
    <t>Ilexx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</si>
  <si>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</si>
  <si>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</si>
  <si>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</si>
  <si>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</si>
  <si>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</si>
  <si>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</si>
  <si>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</si>
  <si>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</si>
  <si>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</si>
  <si>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</si>
  <si>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</si>
  <si>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</si>
  <si>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</si>
  <si>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</si>
  <si>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</si>
  <si>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</si>
  <si>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</si>
  <si>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</si>
  <si>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Transpiration</t>
  </si>
  <si>
    <t>Photosynthesis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</si>
</sst>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"/>
  <sheetViews>
    <sheetView workbookViewId="0">
      <selection activeCell="H1" activeCellId="2" sqref="E1:E65536 A1:A65536 H1:H65536"/>
    </sheetView>
  </sheetViews>
  <sheetFormatPr defaultRowHeight="15" x14ac:dyDescent="0.25"/>
  <sheetData>
    <row r="1" spans="1:56" x14ac:dyDescent="0.25">
      <c r="A1" s="1" t="s">
        <v>0</v>
      </c>
    </row>
    <row r="2" spans="1:56" x14ac:dyDescent="0.25">
      <c r="A2" s="1" t="s">
        <v>1</v>
      </c>
    </row>
    <row r="3" spans="1:56" x14ac:dyDescent="0.25">
      <c r="A3" s="1" t="s">
        <v>2</v>
      </c>
      <c r="B3" s="1" t="s">
        <v>3</v>
      </c>
    </row>
    <row r="4" spans="1:56" x14ac:dyDescent="0.25">
      <c r="A4" s="1" t="s">
        <v>4</v>
      </c>
      <c r="B4" s="1" t="s">
        <v>5</v>
      </c>
      <c r="C4" s="1">
        <v>1</v>
      </c>
      <c r="D4" s="1">
        <v>0.15999999642372131</v>
      </c>
    </row>
    <row r="5" spans="1:56" x14ac:dyDescent="0.25">
      <c r="A5" s="1" t="s">
        <v>6</v>
      </c>
      <c r="B5" s="1">
        <v>4</v>
      </c>
    </row>
    <row r="6" spans="1:56" x14ac:dyDescent="0.25">
      <c r="A6" s="1" t="s">
        <v>7</v>
      </c>
      <c r="B6" s="1" t="s">
        <v>8</v>
      </c>
    </row>
    <row r="7" spans="1:56" x14ac:dyDescent="0.25">
      <c r="A7" s="1" t="s">
        <v>9</v>
      </c>
      <c r="B7" s="1" t="s">
        <v>10</v>
      </c>
    </row>
    <row r="9" spans="1:56" x14ac:dyDescent="0.25">
      <c r="A9" s="1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21</v>
      </c>
      <c r="L9" s="1" t="s">
        <v>22</v>
      </c>
      <c r="M9" s="1" t="s">
        <v>23</v>
      </c>
      <c r="N9" s="1" t="s">
        <v>24</v>
      </c>
      <c r="O9" s="1" t="s">
        <v>25</v>
      </c>
      <c r="P9" s="1" t="s">
        <v>26</v>
      </c>
      <c r="Q9" s="1" t="s">
        <v>27</v>
      </c>
      <c r="R9" s="1" t="s">
        <v>28</v>
      </c>
      <c r="S9" s="1" t="s">
        <v>29</v>
      </c>
      <c r="T9" s="1" t="s">
        <v>30</v>
      </c>
      <c r="U9" s="1" t="s">
        <v>31</v>
      </c>
      <c r="V9" s="1" t="s">
        <v>32</v>
      </c>
      <c r="W9" s="1" t="s">
        <v>33</v>
      </c>
      <c r="X9" s="1" t="s">
        <v>34</v>
      </c>
      <c r="Y9" s="1" t="s">
        <v>35</v>
      </c>
      <c r="Z9" s="1" t="s">
        <v>36</v>
      </c>
      <c r="AA9" s="1" t="s">
        <v>37</v>
      </c>
      <c r="AB9" s="1" t="s">
        <v>38</v>
      </c>
      <c r="AC9" s="1" t="s">
        <v>39</v>
      </c>
      <c r="AD9" s="1" t="s">
        <v>40</v>
      </c>
      <c r="AE9" s="1" t="s">
        <v>41</v>
      </c>
      <c r="AF9" s="1" t="s">
        <v>42</v>
      </c>
      <c r="AG9" s="1" t="s">
        <v>43</v>
      </c>
      <c r="AH9" s="1" t="s">
        <v>44</v>
      </c>
      <c r="AI9" s="1" t="s">
        <v>45</v>
      </c>
      <c r="AJ9" s="1" t="s">
        <v>46</v>
      </c>
      <c r="AK9" s="1" t="s">
        <v>47</v>
      </c>
      <c r="AL9" s="1" t="s">
        <v>48</v>
      </c>
      <c r="AM9" s="1" t="s">
        <v>49</v>
      </c>
      <c r="AN9" s="1" t="s">
        <v>50</v>
      </c>
      <c r="AO9" s="1" t="s">
        <v>51</v>
      </c>
      <c r="AP9" s="1" t="s">
        <v>52</v>
      </c>
      <c r="AQ9" s="1" t="s">
        <v>53</v>
      </c>
      <c r="AR9" s="1" t="s">
        <v>54</v>
      </c>
      <c r="AS9" s="1" t="s">
        <v>55</v>
      </c>
      <c r="AT9" s="1" t="s">
        <v>56</v>
      </c>
      <c r="AU9" s="1" t="s">
        <v>57</v>
      </c>
      <c r="AV9" s="1" t="s">
        <v>58</v>
      </c>
      <c r="AW9" s="1" t="s">
        <v>59</v>
      </c>
      <c r="AX9" s="1" t="s">
        <v>60</v>
      </c>
      <c r="AY9" s="1" t="s">
        <v>61</v>
      </c>
      <c r="AZ9" s="1" t="s">
        <v>62</v>
      </c>
      <c r="BA9" s="1" t="s">
        <v>63</v>
      </c>
      <c r="BB9" s="1" t="s">
        <v>64</v>
      </c>
      <c r="BC9" s="1" t="s">
        <v>65</v>
      </c>
      <c r="BD9" s="1" t="s">
        <v>66</v>
      </c>
    </row>
    <row r="10" spans="1:56" x14ac:dyDescent="0.25">
      <c r="A10" s="1" t="s">
        <v>67</v>
      </c>
      <c r="B10" s="1" t="s">
        <v>67</v>
      </c>
      <c r="C10" s="1" t="s">
        <v>67</v>
      </c>
      <c r="D10" s="1" t="s">
        <v>67</v>
      </c>
      <c r="E10" s="1" t="s">
        <v>68</v>
      </c>
      <c r="F10" s="1" t="s">
        <v>68</v>
      </c>
      <c r="G10" s="1" t="s">
        <v>68</v>
      </c>
      <c r="H10" s="1" t="s">
        <v>68</v>
      </c>
      <c r="I10" s="1" t="s">
        <v>68</v>
      </c>
      <c r="J10" s="1" t="s">
        <v>68</v>
      </c>
      <c r="K10" s="1" t="s">
        <v>67</v>
      </c>
      <c r="L10" s="1" t="s">
        <v>68</v>
      </c>
      <c r="M10" s="1" t="s">
        <v>67</v>
      </c>
      <c r="N10" s="1" t="s">
        <v>68</v>
      </c>
      <c r="O10" s="1" t="s">
        <v>67</v>
      </c>
      <c r="P10" s="1" t="s">
        <v>67</v>
      </c>
      <c r="Q10" s="1" t="s">
        <v>67</v>
      </c>
      <c r="R10" s="1" t="s">
        <v>67</v>
      </c>
      <c r="S10" s="1" t="s">
        <v>67</v>
      </c>
      <c r="T10" s="1" t="s">
        <v>67</v>
      </c>
      <c r="U10" s="1" t="s">
        <v>67</v>
      </c>
      <c r="V10" s="1" t="s">
        <v>67</v>
      </c>
      <c r="W10" s="1" t="s">
        <v>67</v>
      </c>
      <c r="X10" s="1" t="s">
        <v>67</v>
      </c>
      <c r="Y10" s="1" t="s">
        <v>67</v>
      </c>
      <c r="Z10" s="1" t="s">
        <v>67</v>
      </c>
      <c r="AA10" s="1" t="s">
        <v>67</v>
      </c>
      <c r="AB10" s="1" t="s">
        <v>67</v>
      </c>
      <c r="AC10" s="1" t="s">
        <v>67</v>
      </c>
      <c r="AD10" s="1" t="s">
        <v>67</v>
      </c>
      <c r="AE10" s="1" t="s">
        <v>67</v>
      </c>
      <c r="AF10" s="1" t="s">
        <v>67</v>
      </c>
      <c r="AG10" s="1" t="s">
        <v>67</v>
      </c>
      <c r="AH10" s="1" t="s">
        <v>67</v>
      </c>
      <c r="AI10" s="1" t="s">
        <v>67</v>
      </c>
      <c r="AJ10" s="1" t="s">
        <v>67</v>
      </c>
      <c r="AK10" s="1" t="s">
        <v>68</v>
      </c>
      <c r="AL10" s="1" t="s">
        <v>68</v>
      </c>
      <c r="AM10" s="1" t="s">
        <v>68</v>
      </c>
      <c r="AN10" s="1" t="s">
        <v>68</v>
      </c>
      <c r="AO10" s="1" t="s">
        <v>68</v>
      </c>
      <c r="AP10" s="1" t="s">
        <v>68</v>
      </c>
      <c r="AQ10" s="1" t="s">
        <v>68</v>
      </c>
      <c r="AR10" s="1" t="s">
        <v>68</v>
      </c>
      <c r="AS10" s="1" t="s">
        <v>68</v>
      </c>
      <c r="AT10" s="1" t="s">
        <v>68</v>
      </c>
      <c r="AU10" s="1" t="s">
        <v>68</v>
      </c>
      <c r="AV10" s="1" t="s">
        <v>68</v>
      </c>
      <c r="AW10" s="1" t="s">
        <v>68</v>
      </c>
      <c r="AX10" s="1" t="s">
        <v>68</v>
      </c>
      <c r="AY10" s="1" t="s">
        <v>68</v>
      </c>
      <c r="AZ10" s="1" t="s">
        <v>68</v>
      </c>
      <c r="BA10" s="1" t="s">
        <v>68</v>
      </c>
      <c r="BB10" s="1" t="s">
        <v>68</v>
      </c>
      <c r="BC10" s="1" t="s">
        <v>68</v>
      </c>
      <c r="BD10" s="1" t="s">
        <v>68</v>
      </c>
    </row>
    <row r="11" spans="1:56" x14ac:dyDescent="0.25">
      <c r="A11" s="1" t="s">
        <v>9</v>
      </c>
      <c r="B11" s="1" t="s">
        <v>69</v>
      </c>
    </row>
    <row r="12" spans="1:56" x14ac:dyDescent="0.25">
      <c r="A12" s="1" t="s">
        <v>9</v>
      </c>
      <c r="B12" s="1" t="s">
        <v>70</v>
      </c>
    </row>
    <row r="13" spans="1:56" x14ac:dyDescent="0.25">
      <c r="A13" s="1" t="s">
        <v>9</v>
      </c>
      <c r="B13" s="1" t="s">
        <v>71</v>
      </c>
    </row>
    <row r="14" spans="1:56" x14ac:dyDescent="0.25">
      <c r="A14" s="1" t="s">
        <v>9</v>
      </c>
      <c r="B14" s="1" t="s">
        <v>72</v>
      </c>
    </row>
    <row r="15" spans="1:56" x14ac:dyDescent="0.25">
      <c r="A15" s="1">
        <v>1</v>
      </c>
      <c r="B15" s="1" t="s">
        <v>73</v>
      </c>
      <c r="C15" s="1">
        <v>632.9999960437417</v>
      </c>
      <c r="D15" s="1">
        <v>0</v>
      </c>
      <c r="E15">
        <f>(R15-S15*(1000-T15)/(1000-U15))*AK15</f>
        <v>8.3434169228223585</v>
      </c>
      <c r="F15">
        <f>IF(AV15&lt;&gt;0,1/(1/AV15-1/N15),0)</f>
        <v>0.11914367731240832</v>
      </c>
      <c r="G15">
        <f>((AY15-AL15/2)*S15-E15)/(AY15+AL15/2)</f>
        <v>272.44774577267106</v>
      </c>
      <c r="H15">
        <f>AL15*1000</f>
        <v>2.3533567837764395</v>
      </c>
      <c r="I15">
        <f>(AQ15-AW15)</f>
        <v>2.0151786600181127</v>
      </c>
      <c r="J15">
        <f>(P15+AP15*D15)</f>
        <v>26.372306823730469</v>
      </c>
      <c r="K15" s="1">
        <v>6</v>
      </c>
      <c r="L15">
        <f>(K15*AE15+AF15)</f>
        <v>1.4200000166893005</v>
      </c>
      <c r="M15" s="1">
        <v>1</v>
      </c>
      <c r="N15">
        <f>L15*(M15+1)*(M15+1)/(M15*M15+1)</f>
        <v>2.8400000333786011</v>
      </c>
      <c r="O15" s="1">
        <v>25.395977020263672</v>
      </c>
      <c r="P15" s="1">
        <v>26.372306823730469</v>
      </c>
      <c r="Q15" s="1">
        <v>25.229185104370117</v>
      </c>
      <c r="R15" s="1">
        <v>413.46328735351562</v>
      </c>
      <c r="S15" s="1">
        <v>399.51736450195312</v>
      </c>
      <c r="T15" s="1">
        <v>10.80567741394043</v>
      </c>
      <c r="U15" s="1">
        <v>14.290386199951172</v>
      </c>
      <c r="V15" s="1">
        <v>33.310237884521484</v>
      </c>
      <c r="W15" s="1">
        <v>44.052417755126953</v>
      </c>
      <c r="X15" s="1">
        <v>399.41238403320312</v>
      </c>
      <c r="Y15" s="1">
        <v>1498.5068359375</v>
      </c>
      <c r="Z15" s="1">
        <v>0.22179421782493591</v>
      </c>
      <c r="AA15" s="1">
        <v>100.356689453125</v>
      </c>
      <c r="AB15" s="1">
        <v>99.638298034667969</v>
      </c>
      <c r="AC15" s="1">
        <v>1.9616386890411377</v>
      </c>
      <c r="AD15" s="1">
        <v>0.66666668653488159</v>
      </c>
      <c r="AE15" s="1">
        <v>-0.21956524252891541</v>
      </c>
      <c r="AF15" s="1">
        <v>2.737391471862793</v>
      </c>
      <c r="AG15" s="1">
        <v>1</v>
      </c>
      <c r="AH15" s="1">
        <v>0</v>
      </c>
      <c r="AI15" s="1">
        <v>0.15999999642372131</v>
      </c>
      <c r="AJ15" s="1">
        <v>111125</v>
      </c>
      <c r="AK15">
        <f>X15*0.000001/(K15*0.0001)</f>
        <v>0.66568730672200516</v>
      </c>
      <c r="AL15">
        <f>(U15-T15)/(1000-U15)*AK15</f>
        <v>2.3533567837764396E-3</v>
      </c>
      <c r="AM15">
        <f>(P15+273.15)</f>
        <v>299.52230682373045</v>
      </c>
      <c r="AN15">
        <f>(O15+273.15)</f>
        <v>298.54597702026365</v>
      </c>
      <c r="AO15">
        <f>(Y15*AG15+Z15*AH15)*AI15</f>
        <v>239.76108839092194</v>
      </c>
      <c r="AP15">
        <f>((AO15+0.00000010773*(AN15^4-AM15^4))-AL15*44100)/(L15*51.4+0.00000043092*AM15^3)</f>
        <v>1.4748948113133051</v>
      </c>
      <c r="AQ15">
        <f>0.61365*EXP(17.502*J15/(240.97+J15))</f>
        <v>3.4493145100518356</v>
      </c>
      <c r="AR15">
        <f>AQ15*1000/AA15</f>
        <v>34.370548977335041</v>
      </c>
      <c r="AS15">
        <f>(AR15-U15)</f>
        <v>20.080162777383869</v>
      </c>
      <c r="AT15">
        <f>IF(D15,P15,(O15+P15)/2)</f>
        <v>25.88414192199707</v>
      </c>
      <c r="AU15">
        <f>0.61365*EXP(17.502*AT15/(240.97+AT15))</f>
        <v>3.3511946624681372</v>
      </c>
      <c r="AV15">
        <f>IF(AS15&lt;&gt;0,(1000-(AR15+U15)/2)/AS15*AL15,0)</f>
        <v>0.11434660855490332</v>
      </c>
      <c r="AW15">
        <f>U15*AA15/1000</f>
        <v>1.4341358500337229</v>
      </c>
      <c r="AX15">
        <f>(AU15-AW15)</f>
        <v>1.9170588124344143</v>
      </c>
      <c r="AY15">
        <f>1/(1.6/F15+1.37/N15)</f>
        <v>7.1882672188111466E-2</v>
      </c>
      <c r="AZ15">
        <f>G15*AA15*0.001</f>
        <v>27.3419538147119</v>
      </c>
      <c r="BA15">
        <f>G15/S15</f>
        <v>0.68194218820078134</v>
      </c>
      <c r="BB15">
        <f>(1-AL15*AA15/AQ15/F15)*100</f>
        <v>42.531441357602077</v>
      </c>
      <c r="BC15">
        <f>(S15-E15/(N15/1.35))</f>
        <v>395.55130368736559</v>
      </c>
      <c r="BD15">
        <f>E15*BB15/100/BC15</f>
        <v>8.9712142082968571E-3</v>
      </c>
    </row>
    <row r="16" spans="1:56" x14ac:dyDescent="0.25">
      <c r="A16" s="1">
        <v>2</v>
      </c>
      <c r="B16" s="1" t="s">
        <v>74</v>
      </c>
      <c r="C16" s="1">
        <v>755.99999329447746</v>
      </c>
      <c r="D16" s="1">
        <v>0</v>
      </c>
      <c r="E16">
        <f>(R16-S16*(1000-T16)/(1000-U16))*AK16</f>
        <v>6.8031627457947321</v>
      </c>
      <c r="F16">
        <f>IF(AV16&lt;&gt;0,1/(1/AV16-1/N16),0)</f>
        <v>9.6790520834270574E-2</v>
      </c>
      <c r="G16">
        <f>((AY16-AL16/2)*S16-E16)/(AY16+AL16/2)</f>
        <v>272.04306277010318</v>
      </c>
      <c r="H16">
        <f>AL16*1000</f>
        <v>1.9388391931944984</v>
      </c>
      <c r="I16">
        <f>(AQ16-AW16)</f>
        <v>2.026824042472481</v>
      </c>
      <c r="J16">
        <f>(P16+AP16*D16)</f>
        <v>26.735868453979492</v>
      </c>
      <c r="K16" s="1">
        <v>6</v>
      </c>
      <c r="L16">
        <f>(K16*AE16+AF16)</f>
        <v>1.4200000166893005</v>
      </c>
      <c r="M16" s="1">
        <v>1</v>
      </c>
      <c r="N16">
        <f>L16*(M16+1)*(M16+1)/(M16*M16+1)</f>
        <v>2.8400000333786011</v>
      </c>
      <c r="O16" s="1">
        <v>25.717824935913086</v>
      </c>
      <c r="P16" s="1">
        <v>26.735868453979492</v>
      </c>
      <c r="Q16" s="1">
        <v>25.567581176757812</v>
      </c>
      <c r="R16" s="1">
        <v>412.97280883789062</v>
      </c>
      <c r="S16" s="1">
        <v>398.84967041015625</v>
      </c>
      <c r="T16" s="1">
        <v>11.358116149902344</v>
      </c>
      <c r="U16" s="1">
        <v>14.918349266052246</v>
      </c>
      <c r="V16" s="1">
        <v>34.351226806640625</v>
      </c>
      <c r="W16" s="1">
        <v>45.11871337890625</v>
      </c>
      <c r="X16" s="1">
        <v>321.87469482421875</v>
      </c>
      <c r="Y16" s="1">
        <v>1499.040283203125</v>
      </c>
      <c r="Z16" s="1">
        <v>0.15857400000095367</v>
      </c>
      <c r="AA16" s="1">
        <v>100.35871124267578</v>
      </c>
      <c r="AB16" s="1">
        <v>99.638298034667969</v>
      </c>
      <c r="AC16" s="1">
        <v>1.9616386890411377</v>
      </c>
      <c r="AD16" s="1">
        <v>0</v>
      </c>
      <c r="AE16" s="1">
        <v>-0.21956524252891541</v>
      </c>
      <c r="AF16" s="1">
        <v>2.737391471862793</v>
      </c>
      <c r="AG16" s="1">
        <v>1</v>
      </c>
      <c r="AH16" s="1">
        <v>0</v>
      </c>
      <c r="AI16" s="1">
        <v>0.15999999642372131</v>
      </c>
      <c r="AJ16" s="1">
        <v>112225</v>
      </c>
      <c r="AK16">
        <f>X16*0.000001/(K16*0.0001)</f>
        <v>0.53645782470703118</v>
      </c>
      <c r="AL16">
        <f>(U16-T16)/(1000-U16)*AK16</f>
        <v>1.9388391931944983E-3</v>
      </c>
      <c r="AM16">
        <f>(P16+273.15)</f>
        <v>299.88586845397947</v>
      </c>
      <c r="AN16">
        <f>(O16+273.15)</f>
        <v>298.86782493591306</v>
      </c>
      <c r="AO16">
        <f>(Y16*AG16+Z16*AH16)*AI16</f>
        <v>239.84643995151418</v>
      </c>
      <c r="AP16">
        <f>((AO16+0.00000010773*(AN16^4-AM16^4))-AL16*44100)/(L16*51.4+0.00000043092*AM16^3)</f>
        <v>1.6850633703486901</v>
      </c>
      <c r="AQ16">
        <f>0.61365*EXP(17.502*J16/(240.97+J16))</f>
        <v>3.5240103486816028</v>
      </c>
      <c r="AR16">
        <f>AQ16*1000/AA16</f>
        <v>35.114145100570795</v>
      </c>
      <c r="AS16">
        <f>(AR16-U16)</f>
        <v>20.195795834518549</v>
      </c>
      <c r="AT16">
        <f>IF(D16,P16,(O16+P16)/2)</f>
        <v>26.226846694946289</v>
      </c>
      <c r="AU16">
        <f>0.61365*EXP(17.502*AT16/(240.97+AT16))</f>
        <v>3.419818392230924</v>
      </c>
      <c r="AV16">
        <f>IF(AS16&lt;&gt;0,(1000-(AR16+U16)/2)/AS16*AL16,0)</f>
        <v>9.3600506173562054E-2</v>
      </c>
      <c r="AW16">
        <f>U16*AA16/1000</f>
        <v>1.4971863062091215</v>
      </c>
      <c r="AX16">
        <f>(AU16-AW16)</f>
        <v>1.9226320860218025</v>
      </c>
      <c r="AY16">
        <f>1/(1.6/F16+1.37/N16)</f>
        <v>5.8778792740135546E-2</v>
      </c>
      <c r="AZ16">
        <f>G16*AA16*0.001</f>
        <v>27.301891182117906</v>
      </c>
      <c r="BA16">
        <f>G16/S16</f>
        <v>0.68206916779033122</v>
      </c>
      <c r="BB16">
        <f>(1-AL16*AA16/AQ16/F16)*100</f>
        <v>42.953781103208335</v>
      </c>
      <c r="BC16">
        <f>(S16-E16/(N16/1.35))</f>
        <v>395.61577266407176</v>
      </c>
      <c r="BD16">
        <f>E16*BB16/100/BC16</f>
        <v>7.3864993153471177E-3</v>
      </c>
    </row>
    <row r="17" spans="1:56" x14ac:dyDescent="0.25">
      <c r="A17" s="1">
        <v>3</v>
      </c>
      <c r="B17" s="1" t="s">
        <v>75</v>
      </c>
      <c r="C17" s="1">
        <v>918.49998966231942</v>
      </c>
      <c r="D17" s="1">
        <v>0</v>
      </c>
      <c r="E17">
        <f>(R17-S17*(1000-T17)/(1000-U17))*AK17</f>
        <v>9.0638463687910509</v>
      </c>
      <c r="F17">
        <f>IF(AV17&lt;&gt;0,1/(1/AV17-1/N17),0)</f>
        <v>0.11248505660904586</v>
      </c>
      <c r="G17">
        <f>((AY17-AL17/2)*S17-E17)/(AY17+AL17/2)</f>
        <v>251.67345588148106</v>
      </c>
      <c r="H17">
        <f>AL17*1000</f>
        <v>2.2127211265850595</v>
      </c>
      <c r="I17">
        <f>(AQ17-AW17)</f>
        <v>2.0001447624211179</v>
      </c>
      <c r="J17">
        <f>(P17+AP17*D17)</f>
        <v>26.889606475830078</v>
      </c>
      <c r="K17" s="1">
        <v>6</v>
      </c>
      <c r="L17">
        <f>(K17*AE17+AF17)</f>
        <v>1.4200000166893005</v>
      </c>
      <c r="M17" s="1">
        <v>1</v>
      </c>
      <c r="N17">
        <f>L17*(M17+1)*(M17+1)/(M17*M17+1)</f>
        <v>2.8400000333786011</v>
      </c>
      <c r="O17" s="1">
        <v>26.006736755371094</v>
      </c>
      <c r="P17" s="1">
        <v>26.889606475830078</v>
      </c>
      <c r="Q17" s="1">
        <v>25.860877990722656</v>
      </c>
      <c r="R17" s="1">
        <v>414.36065673828125</v>
      </c>
      <c r="S17" s="1">
        <v>395.50094604492187</v>
      </c>
      <c r="T17" s="1">
        <v>11.369159698486328</v>
      </c>
      <c r="U17" s="1">
        <v>15.502816200256348</v>
      </c>
      <c r="V17" s="1">
        <v>33.8018798828125</v>
      </c>
      <c r="W17" s="1">
        <v>46.09173583984375</v>
      </c>
      <c r="X17" s="1">
        <v>316.19720458984375</v>
      </c>
      <c r="Y17" s="1">
        <v>1499.58056640625</v>
      </c>
      <c r="Z17" s="1">
        <v>0.16760049760341644</v>
      </c>
      <c r="AA17" s="1">
        <v>100.36075592041016</v>
      </c>
      <c r="AB17" s="1">
        <v>99.638298034667969</v>
      </c>
      <c r="AC17" s="1">
        <v>1.9616386890411377</v>
      </c>
      <c r="AD17" s="1">
        <v>0.66666668653488159</v>
      </c>
      <c r="AE17" s="1">
        <v>-0.21956524252891541</v>
      </c>
      <c r="AF17" s="1">
        <v>2.737391471862793</v>
      </c>
      <c r="AG17" s="1">
        <v>1</v>
      </c>
      <c r="AH17" s="1">
        <v>0</v>
      </c>
      <c r="AI17" s="1">
        <v>0.15999999642372131</v>
      </c>
      <c r="AJ17" s="1">
        <v>112225</v>
      </c>
      <c r="AK17">
        <f>X17*0.000001/(K17*0.0001)</f>
        <v>0.52699534098307288</v>
      </c>
      <c r="AL17">
        <f>(U17-T17)/(1000-U17)*AK17</f>
        <v>2.2127211265850597E-3</v>
      </c>
      <c r="AM17">
        <f>(P17+273.15)</f>
        <v>300.03960647583006</v>
      </c>
      <c r="AN17">
        <f>(O17+273.15)</f>
        <v>299.15673675537107</v>
      </c>
      <c r="AO17">
        <f>(Y17*AG17+Z17*AH17)*AI17</f>
        <v>239.93288526208198</v>
      </c>
      <c r="AP17">
        <f>((AO17+0.00000010773*(AN17^4-AM17^4))-AL17*44100)/(L17*51.4+0.00000043092*AM17^3)</f>
        <v>1.5612077969044655</v>
      </c>
      <c r="AQ17">
        <f>0.61365*EXP(17.502*J17/(240.97+J17))</f>
        <v>3.5560191151740255</v>
      </c>
      <c r="AR17">
        <f>AQ17*1000/AA17</f>
        <v>35.432366790800998</v>
      </c>
      <c r="AS17">
        <f>(AR17-U17)</f>
        <v>19.92955059054465</v>
      </c>
      <c r="AT17">
        <f>IF(D17,P17,(O17+P17)/2)</f>
        <v>26.448171615600586</v>
      </c>
      <c r="AU17">
        <f>0.61365*EXP(17.502*AT17/(240.97+AT17))</f>
        <v>3.4647861838827381</v>
      </c>
      <c r="AV17">
        <f>IF(AS17&lt;&gt;0,(1000-(AR17+U17)/2)/AS17*AL17,0)</f>
        <v>0.10819955216966759</v>
      </c>
      <c r="AW17">
        <f>U17*AA17/1000</f>
        <v>1.5558743527529078</v>
      </c>
      <c r="AX17">
        <f>(AU17-AW17)</f>
        <v>1.9089118311298303</v>
      </c>
      <c r="AY17">
        <f>1/(1.6/F17+1.37/N17)</f>
        <v>6.7997116500756197E-2</v>
      </c>
      <c r="AZ17">
        <f>G17*AA17*0.001</f>
        <v>25.258138277367436</v>
      </c>
      <c r="BA17">
        <f>G17/S17</f>
        <v>0.63634097060515105</v>
      </c>
      <c r="BB17">
        <f>(1-AL17*AA17/AQ17/F17)*100</f>
        <v>44.482271571809306</v>
      </c>
      <c r="BC17">
        <f>(S17-E17/(N17/1.35))</f>
        <v>391.19242757518401</v>
      </c>
      <c r="BD17">
        <f>E17*BB17/100/BC17</f>
        <v>1.0306448878902011E-2</v>
      </c>
    </row>
    <row r="18" spans="1:56" x14ac:dyDescent="0.25">
      <c r="A18" s="1">
        <v>4</v>
      </c>
      <c r="B18" s="1" t="s">
        <v>76</v>
      </c>
      <c r="C18" s="1">
        <v>1062.4999864436686</v>
      </c>
      <c r="D18" s="1">
        <v>0</v>
      </c>
      <c r="E18">
        <f>(R18-S18*(1000-T18)/(1000-U18))*AK18</f>
        <v>7.3779493397003506</v>
      </c>
      <c r="F18">
        <f>IF(AV18&lt;&gt;0,1/(1/AV18-1/N18),0)</f>
        <v>9.0491415536575623E-2</v>
      </c>
      <c r="G18">
        <f>((AY18-AL18/2)*S18-E18)/(AY18+AL18/2)</f>
        <v>253.98642874971924</v>
      </c>
      <c r="H18">
        <f>AL18*1000</f>
        <v>1.9194891568835624</v>
      </c>
      <c r="I18">
        <f>(AQ18-AW18)</f>
        <v>2.1403031741645773</v>
      </c>
      <c r="J18">
        <f>(P18+AP18*D18)</f>
        <v>27.294584274291992</v>
      </c>
      <c r="K18" s="1">
        <v>6</v>
      </c>
      <c r="L18">
        <f>(K18*AE18+AF18)</f>
        <v>1.4200000166893005</v>
      </c>
      <c r="M18" s="1">
        <v>1</v>
      </c>
      <c r="N18">
        <f>L18*(M18+1)*(M18+1)/(M18*M18+1)</f>
        <v>2.8400000333786011</v>
      </c>
      <c r="O18" s="1">
        <v>26.178739547729492</v>
      </c>
      <c r="P18" s="1">
        <v>27.294584274291992</v>
      </c>
      <c r="Q18" s="1">
        <v>26.040151596069336</v>
      </c>
      <c r="R18" s="1">
        <v>414.71722412109375</v>
      </c>
      <c r="S18" s="1">
        <v>399.38665771484375</v>
      </c>
      <c r="T18" s="1">
        <v>11.400094032287598</v>
      </c>
      <c r="U18" s="1">
        <v>14.959111213684082</v>
      </c>
      <c r="V18" s="1">
        <v>33.549613952636719</v>
      </c>
      <c r="W18" s="1">
        <v>44.023529052734375</v>
      </c>
      <c r="X18" s="1">
        <v>318.75799560546875</v>
      </c>
      <c r="Y18" s="1">
        <v>1498.8394775390625</v>
      </c>
      <c r="Z18" s="1">
        <v>2.0072465762495995E-2</v>
      </c>
      <c r="AA18" s="1">
        <v>100.35700225830078</v>
      </c>
      <c r="AB18" s="1">
        <v>99.638298034667969</v>
      </c>
      <c r="AC18" s="1">
        <v>1.9616386890411377</v>
      </c>
      <c r="AD18" s="1">
        <v>0.3333333432674408</v>
      </c>
      <c r="AE18" s="1">
        <v>-0.21956524252891541</v>
      </c>
      <c r="AF18" s="1">
        <v>2.737391471862793</v>
      </c>
      <c r="AG18" s="1">
        <v>1</v>
      </c>
      <c r="AH18" s="1">
        <v>0</v>
      </c>
      <c r="AI18" s="1">
        <v>0.15999999642372131</v>
      </c>
      <c r="AJ18" s="1">
        <v>112225</v>
      </c>
      <c r="AK18">
        <f>X18*0.000001/(K18*0.0001)</f>
        <v>0.53126332600911452</v>
      </c>
      <c r="AL18">
        <f>(U18-T18)/(1000-U18)*AK18</f>
        <v>1.9194891568835623E-3</v>
      </c>
      <c r="AM18">
        <f>(P18+273.15)</f>
        <v>300.44458427429197</v>
      </c>
      <c r="AN18">
        <f>(O18+273.15)</f>
        <v>299.32873954772947</v>
      </c>
      <c r="AO18">
        <f>(Y18*AG18+Z18*AH18)*AI18</f>
        <v>239.81431104598232</v>
      </c>
      <c r="AP18">
        <f>((AO18+0.00000010773*(AN18^4-AM18^4))-AL18*44100)/(L18*51.4+0.00000043092*AM18^3)</f>
        <v>1.6793318655108112</v>
      </c>
      <c r="AQ18">
        <f>0.61365*EXP(17.502*J18/(240.97+J18))</f>
        <v>3.6415547320184434</v>
      </c>
      <c r="AR18">
        <f>AQ18*1000/AA18</f>
        <v>36.286005461240656</v>
      </c>
      <c r="AS18">
        <f>(AR18-U18)</f>
        <v>21.326894247556574</v>
      </c>
      <c r="AT18">
        <f>IF(D18,P18,(O18+P18)/2)</f>
        <v>26.736661911010742</v>
      </c>
      <c r="AU18">
        <f>0.61365*EXP(17.502*AT18/(240.97+AT18))</f>
        <v>3.5241749011170107</v>
      </c>
      <c r="AV18">
        <f>IF(AS18&lt;&gt;0,(1000-(AR18+U18)/2)/AS18*AL18,0)</f>
        <v>8.7697107336548452E-2</v>
      </c>
      <c r="AW18">
        <f>U18*AA18/1000</f>
        <v>1.5012515578538659</v>
      </c>
      <c r="AX18">
        <f>(AU18-AW18)</f>
        <v>2.0229233432631446</v>
      </c>
      <c r="AY18">
        <f>1/(1.6/F18+1.37/N18)</f>
        <v>5.5055075732064765E-2</v>
      </c>
      <c r="AZ18">
        <f>G18*AA18*0.001</f>
        <v>25.489316603613322</v>
      </c>
      <c r="BA18">
        <f>G18/S18</f>
        <v>0.63594119594015541</v>
      </c>
      <c r="BB18">
        <f>(1-AL18*AA18/AQ18/F18)*100</f>
        <v>41.542650569415073</v>
      </c>
      <c r="BC18">
        <f>(S18-E18/(N18/1.35))</f>
        <v>395.87953395021958</v>
      </c>
      <c r="BD18">
        <f>E18*BB18/100/BC18</f>
        <v>7.7422434112635772E-3</v>
      </c>
    </row>
    <row r="19" spans="1:56" x14ac:dyDescent="0.25">
      <c r="A19" s="1">
        <v>5</v>
      </c>
      <c r="B19" s="1" t="s">
        <v>77</v>
      </c>
      <c r="C19" s="1">
        <v>1212.9999830797315</v>
      </c>
      <c r="D19" s="1">
        <v>0</v>
      </c>
      <c r="E19">
        <f>(R19-S19*(1000-T19)/(1000-U19))*AK19</f>
        <v>5.9972961709073793</v>
      </c>
      <c r="F19">
        <f>IF(AV19&lt;&gt;0,1/(1/AV19-1/N19),0)</f>
        <v>5.8848342147301891E-2</v>
      </c>
      <c r="G19">
        <f>((AY19-AL19/2)*S19-E19)/(AY19+AL19/2)</f>
        <v>224.42885659849023</v>
      </c>
      <c r="H19">
        <f>AL19*1000</f>
        <v>1.4111659076051584</v>
      </c>
      <c r="I19">
        <f>(AQ19-AW19)</f>
        <v>2.3925846003547173</v>
      </c>
      <c r="J19">
        <f>(P19+AP19*D19)</f>
        <v>28.033313751220703</v>
      </c>
      <c r="K19" s="1">
        <v>6</v>
      </c>
      <c r="L19">
        <f>(K19*AE19+AF19)</f>
        <v>1.4200000166893005</v>
      </c>
      <c r="M19" s="1">
        <v>1</v>
      </c>
      <c r="N19">
        <f>L19*(M19+1)*(M19+1)/(M19*M19+1)</f>
        <v>2.8400000333786011</v>
      </c>
      <c r="O19" s="1">
        <v>26.376028060913086</v>
      </c>
      <c r="P19" s="1">
        <v>28.033313751220703</v>
      </c>
      <c r="Q19" s="1">
        <v>26.243331909179688</v>
      </c>
      <c r="R19" s="1">
        <v>414.89920043945312</v>
      </c>
      <c r="S19" s="1">
        <v>402.62222290039062</v>
      </c>
      <c r="T19" s="1">
        <v>11.444611549377441</v>
      </c>
      <c r="U19" s="1">
        <v>14.046332359313965</v>
      </c>
      <c r="V19" s="1">
        <v>33.290126800537109</v>
      </c>
      <c r="W19" s="1">
        <v>40.858020782470703</v>
      </c>
      <c r="X19" s="1">
        <v>320.8670654296875</v>
      </c>
      <c r="Y19" s="1">
        <v>1498.62060546875</v>
      </c>
      <c r="Z19" s="1">
        <v>0.10537960380315781</v>
      </c>
      <c r="AA19" s="1">
        <v>100.35581970214844</v>
      </c>
      <c r="AB19" s="1">
        <v>99.638298034667969</v>
      </c>
      <c r="AC19" s="1">
        <v>1.9616386890411377</v>
      </c>
      <c r="AD19" s="1">
        <v>0.66666668653488159</v>
      </c>
      <c r="AE19" s="1">
        <v>-0.21956524252891541</v>
      </c>
      <c r="AF19" s="1">
        <v>2.737391471862793</v>
      </c>
      <c r="AG19" s="1">
        <v>1</v>
      </c>
      <c r="AH19" s="1">
        <v>0</v>
      </c>
      <c r="AI19" s="1">
        <v>0.15999999642372131</v>
      </c>
      <c r="AJ19" s="1">
        <v>112225</v>
      </c>
      <c r="AK19">
        <f>X19*0.000001/(K19*0.0001)</f>
        <v>0.53477844238281247</v>
      </c>
      <c r="AL19">
        <f>(U19-T19)/(1000-U19)*AK19</f>
        <v>1.4111659076051584E-3</v>
      </c>
      <c r="AM19">
        <f>(P19+273.15)</f>
        <v>301.18331375122068</v>
      </c>
      <c r="AN19">
        <f>(O19+273.15)</f>
        <v>299.52602806091306</v>
      </c>
      <c r="AO19">
        <f>(Y19*AG19+Z19*AH19)*AI19</f>
        <v>239.77929151551507</v>
      </c>
      <c r="AP19">
        <f>((AO19+0.00000010773*(AN19^4-AM19^4))-AL19*44100)/(L19*51.4+0.00000043092*AM19^3)</f>
        <v>1.8663759283015473</v>
      </c>
      <c r="AQ19">
        <f>0.61365*EXP(17.502*J19/(240.97+J19))</f>
        <v>3.8022157980824831</v>
      </c>
      <c r="AR19">
        <f>AQ19*1000/AA19</f>
        <v>37.88734733438767</v>
      </c>
      <c r="AS19">
        <f>(AR19-U19)</f>
        <v>23.841014975073705</v>
      </c>
      <c r="AT19">
        <f>IF(D19,P19,(O19+P19)/2)</f>
        <v>27.204670906066895</v>
      </c>
      <c r="AU19">
        <f>0.61365*EXP(17.502*AT19/(240.97+AT19))</f>
        <v>3.6224105601198295</v>
      </c>
      <c r="AV19">
        <f>IF(AS19&lt;&gt;0,(1000-(AR19+U19)/2)/AS19*AL19,0)</f>
        <v>5.7653685882171214E-2</v>
      </c>
      <c r="AW19">
        <f>U19*AA19/1000</f>
        <v>1.4096311977277656</v>
      </c>
      <c r="AX19">
        <f>(AU19-AW19)</f>
        <v>2.2127793623920642</v>
      </c>
      <c r="AY19">
        <f>1/(1.6/F19+1.37/N19)</f>
        <v>3.6139014921884989E-2</v>
      </c>
      <c r="AZ19">
        <f>G19*AA19*0.001</f>
        <v>22.522741868757414</v>
      </c>
      <c r="BA19">
        <f>G19/S19</f>
        <v>0.55741795617181888</v>
      </c>
      <c r="BB19">
        <f>(1-AL19*AA19/AQ19/F19)*100</f>
        <v>36.707879857232243</v>
      </c>
      <c r="BC19">
        <f>(S19-E19/(N19/1.35))</f>
        <v>399.77139552871165</v>
      </c>
      <c r="BD19">
        <f>E19*BB19/100/BC19</f>
        <v>5.5068479078837947E-3</v>
      </c>
    </row>
    <row r="20" spans="1:56" x14ac:dyDescent="0.25">
      <c r="A20" s="1" t="s">
        <v>9</v>
      </c>
      <c r="B20" s="1" t="s">
        <v>78</v>
      </c>
    </row>
    <row r="21" spans="1:56" x14ac:dyDescent="0.25">
      <c r="A21" s="1">
        <v>6</v>
      </c>
      <c r="B21" s="1" t="s">
        <v>79</v>
      </c>
      <c r="C21" s="1">
        <v>1450.4999777711928</v>
      </c>
      <c r="D21" s="1">
        <v>0</v>
      </c>
      <c r="E21">
        <f>(R21-S21*(1000-T21)/(1000-U21))*AK21</f>
        <v>2.4561465514409293</v>
      </c>
      <c r="F21">
        <f>IF(AV21&lt;&gt;0,1/(1/AV21-1/N21),0)</f>
        <v>1.921990638947127E-2</v>
      </c>
      <c r="G21">
        <f>((AY21-AL21/2)*S21-E21)/(AY21+AL21/2)</f>
        <v>196.21039107644398</v>
      </c>
      <c r="H21">
        <f>AL21*1000</f>
        <v>0.45470542510910583</v>
      </c>
      <c r="I21">
        <f>(AQ21-AW21)</f>
        <v>2.3329829921018228</v>
      </c>
      <c r="J21">
        <f>(P21+AP21*D21)</f>
        <v>26.994611740112305</v>
      </c>
      <c r="K21" s="1">
        <v>6</v>
      </c>
      <c r="L21">
        <f>(K21*AE21+AF21)</f>
        <v>1.4200000166893005</v>
      </c>
      <c r="M21" s="1">
        <v>1</v>
      </c>
      <c r="N21">
        <f>L21*(M21+1)*(M21+1)/(M21*M21+1)</f>
        <v>2.8400000333786011</v>
      </c>
      <c r="O21" s="1">
        <v>26.490575790405273</v>
      </c>
      <c r="P21" s="1">
        <v>26.994611740112305</v>
      </c>
      <c r="Q21" s="1">
        <v>26.378320693969727</v>
      </c>
      <c r="R21" s="1">
        <v>418.331787109375</v>
      </c>
      <c r="S21" s="1">
        <v>413.468017578125</v>
      </c>
      <c r="T21" s="1">
        <v>11.579588890075684</v>
      </c>
      <c r="U21" s="1">
        <v>12.405617713928223</v>
      </c>
      <c r="V21" s="1">
        <v>33.457778930664062</v>
      </c>
      <c r="W21" s="1">
        <v>35.844486236572266</v>
      </c>
      <c r="X21" s="1">
        <v>326.18560791015625</v>
      </c>
      <c r="Y21" s="1">
        <v>1499.440673828125</v>
      </c>
      <c r="Z21" s="1">
        <v>4.0145177394151688E-2</v>
      </c>
      <c r="AA21" s="1">
        <v>100.36132049560547</v>
      </c>
      <c r="AB21" s="1">
        <v>99.638298034667969</v>
      </c>
      <c r="AC21" s="1">
        <v>1.9616386890411377</v>
      </c>
      <c r="AD21" s="1">
        <v>0.66666668653488159</v>
      </c>
      <c r="AE21" s="1">
        <v>-0.21956524252891541</v>
      </c>
      <c r="AF21" s="1">
        <v>2.737391471862793</v>
      </c>
      <c r="AG21" s="1">
        <v>1</v>
      </c>
      <c r="AH21" s="1">
        <v>0</v>
      </c>
      <c r="AI21" s="1">
        <v>0.15999999642372131</v>
      </c>
      <c r="AJ21" s="1">
        <v>112225</v>
      </c>
      <c r="AK21">
        <f>X21*0.000001/(K21*0.0001)</f>
        <v>0.54364267985026038</v>
      </c>
      <c r="AL21">
        <f>(U21-T21)/(1000-U21)*AK21</f>
        <v>4.5470542510910581E-4</v>
      </c>
      <c r="AM21">
        <f>(P21+273.15)</f>
        <v>300.14461174011228</v>
      </c>
      <c r="AN21">
        <f>(O21+273.15)</f>
        <v>299.64057579040525</v>
      </c>
      <c r="AO21">
        <f>(Y21*AG21+Z21*AH21)*AI21</f>
        <v>239.91050245008228</v>
      </c>
      <c r="AP21">
        <f>((AO21+0.00000010773*(AN21^4-AM21^4))-AL21*44100)/(L21*51.4+0.00000043092*AM21^3)</f>
        <v>2.5283640281351025</v>
      </c>
      <c r="AQ21">
        <f>0.61365*EXP(17.502*J21/(240.97+J21))</f>
        <v>3.5780271674353337</v>
      </c>
      <c r="AR21">
        <f>AQ21*1000/AA21</f>
        <v>35.651455658079001</v>
      </c>
      <c r="AS21">
        <f>(AR21-U21)</f>
        <v>23.245837944150779</v>
      </c>
      <c r="AT21">
        <f>IF(D21,P21,(O21+P21)/2)</f>
        <v>26.742593765258789</v>
      </c>
      <c r="AU21">
        <f>0.61365*EXP(17.502*AT21/(240.97+AT21))</f>
        <v>3.5254053013473041</v>
      </c>
      <c r="AV21">
        <f>IF(AS21&lt;&gt;0,(1000-(AR21+U21)/2)/AS21*AL21,0)</f>
        <v>1.9090708632949607E-2</v>
      </c>
      <c r="AW21">
        <f>U21*AA21/1000</f>
        <v>1.2450441753335109</v>
      </c>
      <c r="AX21">
        <f>(AU21-AW21)</f>
        <v>2.2803611260137933</v>
      </c>
      <c r="AY21">
        <f>1/(1.6/F21+1.37/N21)</f>
        <v>1.1943233631038551E-2</v>
      </c>
      <c r="AZ21">
        <f>G21*AA21*0.001</f>
        <v>19.691933943391081</v>
      </c>
      <c r="BA21">
        <f>G21/S21</f>
        <v>0.47454792809789675</v>
      </c>
      <c r="BB21">
        <f>(1-AL21*AA21/AQ21/F21)*100</f>
        <v>33.640729849587302</v>
      </c>
      <c r="BC21">
        <f>(S21-E21/(N21/1.35))</f>
        <v>412.30048313957764</v>
      </c>
      <c r="BD21">
        <f>E21*BB21/100/BC21</f>
        <v>2.0040374917544763E-3</v>
      </c>
    </row>
    <row r="22" spans="1:56" x14ac:dyDescent="0.25">
      <c r="A22" s="1">
        <v>7</v>
      </c>
      <c r="B22" s="1" t="s">
        <v>80</v>
      </c>
      <c r="C22" s="1">
        <v>1594.499974552542</v>
      </c>
      <c r="D22" s="1">
        <v>0</v>
      </c>
      <c r="E22">
        <f>(R22-S22*(1000-T22)/(1000-U22))*AK22</f>
        <v>2.7893480323206661</v>
      </c>
      <c r="F22">
        <f>IF(AV22&lt;&gt;0,1/(1/AV22-1/N22),0)</f>
        <v>1.8413170946592703E-2</v>
      </c>
      <c r="G22">
        <f>((AY22-AL22/2)*S22-E22)/(AY22+AL22/2)</f>
        <v>157.77079448528059</v>
      </c>
      <c r="H22">
        <f>AL22*1000</f>
        <v>0.45846066428553373</v>
      </c>
      <c r="I22">
        <f>(AQ22-AW22)</f>
        <v>2.4531639910277336</v>
      </c>
      <c r="J22">
        <f>(P22+AP22*D22)</f>
        <v>27.550500869750977</v>
      </c>
      <c r="K22" s="1">
        <v>6</v>
      </c>
      <c r="L22">
        <f>(K22*AE22+AF22)</f>
        <v>1.4200000166893005</v>
      </c>
      <c r="M22" s="1">
        <v>1</v>
      </c>
      <c r="N22">
        <f>L22*(M22+1)*(M22+1)/(M22*M22+1)</f>
        <v>2.8400000333786011</v>
      </c>
      <c r="O22" s="1">
        <v>26.694568634033203</v>
      </c>
      <c r="P22" s="1">
        <v>27.550500869750977</v>
      </c>
      <c r="Q22" s="1">
        <v>26.5755615234375</v>
      </c>
      <c r="R22" s="1">
        <v>418.36904907226562</v>
      </c>
      <c r="S22" s="1">
        <v>412.92556762695312</v>
      </c>
      <c r="T22" s="1">
        <v>11.561367988586426</v>
      </c>
      <c r="U22" s="1">
        <v>12.388822555541992</v>
      </c>
      <c r="V22" s="1">
        <v>33.006240844726562</v>
      </c>
      <c r="W22" s="1">
        <v>35.368518829345703</v>
      </c>
      <c r="X22" s="1">
        <v>328.318359375</v>
      </c>
      <c r="Y22" s="1">
        <v>1499.69091796875</v>
      </c>
      <c r="Z22" s="1">
        <v>2.9104162007570267E-2</v>
      </c>
      <c r="AA22" s="1">
        <v>100.36177062988281</v>
      </c>
      <c r="AB22" s="1">
        <v>99.638298034667969</v>
      </c>
      <c r="AC22" s="1">
        <v>1.9616386890411377</v>
      </c>
      <c r="AD22" s="1">
        <v>0.66666668653488159</v>
      </c>
      <c r="AE22" s="1">
        <v>-0.21956524252891541</v>
      </c>
      <c r="AF22" s="1">
        <v>2.737391471862793</v>
      </c>
      <c r="AG22" s="1">
        <v>1</v>
      </c>
      <c r="AH22" s="1">
        <v>0</v>
      </c>
      <c r="AI22" s="1">
        <v>0.15999999642372131</v>
      </c>
      <c r="AJ22" s="1">
        <v>112225</v>
      </c>
      <c r="AK22">
        <f>X22*0.000001/(K22*0.0001)</f>
        <v>0.54719726562499993</v>
      </c>
      <c r="AL22">
        <f>(U22-T22)/(1000-U22)*AK22</f>
        <v>4.5846066428553375E-4</v>
      </c>
      <c r="AM22">
        <f>(P22+273.15)</f>
        <v>300.70050086975095</v>
      </c>
      <c r="AN22">
        <f>(O22+273.15)</f>
        <v>299.84456863403318</v>
      </c>
      <c r="AO22">
        <f>(Y22*AG22+Z22*AH22)*AI22</f>
        <v>239.95054151168733</v>
      </c>
      <c r="AP22">
        <f>((AO22+0.00000010773*(AN22^4-AM22^4))-AL22*44100)/(L22*51.4+0.00000043092*AM22^3)</f>
        <v>2.4762146407592356</v>
      </c>
      <c r="AQ22">
        <f>0.61365*EXP(17.502*J22/(240.97+J22))</f>
        <v>3.6965281587213576</v>
      </c>
      <c r="AR22">
        <f>AQ22*1000/AA22</f>
        <v>36.832034105431703</v>
      </c>
      <c r="AS22">
        <f>(AR22-U22)</f>
        <v>24.44321154988971</v>
      </c>
      <c r="AT22">
        <f>IF(D22,P22,(O22+P22)/2)</f>
        <v>27.12253475189209</v>
      </c>
      <c r="AU22">
        <f>0.61365*EXP(17.502*AT22/(240.97+AT22))</f>
        <v>3.6049991324868467</v>
      </c>
      <c r="AV22">
        <f>IF(AS22&lt;&gt;0,(1000-(AR22+U22)/2)/AS22*AL22,0)</f>
        <v>1.8294557981960637E-2</v>
      </c>
      <c r="AW22">
        <f>U22*AA22/1000</f>
        <v>1.243364167693624</v>
      </c>
      <c r="AX22">
        <f>(AU22-AW22)</f>
        <v>2.3616349647932227</v>
      </c>
      <c r="AY22">
        <f>1/(1.6/F22+1.37/N22)</f>
        <v>1.1444696538515951E-2</v>
      </c>
      <c r="AZ22">
        <f>G22*AA22*0.001</f>
        <v>15.834156288226112</v>
      </c>
      <c r="BA22">
        <f>G22/S22</f>
        <v>0.38208046886506797</v>
      </c>
      <c r="BB22">
        <f>(1-AL22*AA22/AQ22/F22)*100</f>
        <v>32.399829687989268</v>
      </c>
      <c r="BC22">
        <f>(S22-E22/(N22/1.35))</f>
        <v>411.59964516238432</v>
      </c>
      <c r="BD22">
        <f>E22*BB22/100/BC22</f>
        <v>2.1956870529386162E-3</v>
      </c>
    </row>
    <row r="23" spans="1:56" x14ac:dyDescent="0.25">
      <c r="A23" s="1">
        <v>8</v>
      </c>
      <c r="B23" s="1" t="s">
        <v>81</v>
      </c>
      <c r="C23" s="1">
        <v>1745.499971177429</v>
      </c>
      <c r="D23" s="1">
        <v>0</v>
      </c>
      <c r="E23">
        <f>(R23-S23*(1000-T23)/(1000-U23))*AK23</f>
        <v>2.5344319832451907</v>
      </c>
      <c r="F23">
        <f>IF(AV23&lt;&gt;0,1/(1/AV23-1/N23),0)</f>
        <v>1.6040964224157763E-2</v>
      </c>
      <c r="G23">
        <f>((AY23-AL23/2)*S23-E23)/(AY23+AL23/2)</f>
        <v>148.53259157088314</v>
      </c>
      <c r="H23">
        <f>AL23*1000</f>
        <v>0.39348320796507585</v>
      </c>
      <c r="I23">
        <f>(AQ23-AW23)</f>
        <v>2.4155064087303306</v>
      </c>
      <c r="J23">
        <f>(P23+AP23*D23)</f>
        <v>27.347721099853516</v>
      </c>
      <c r="K23" s="1">
        <v>6</v>
      </c>
      <c r="L23">
        <f>(K23*AE23+AF23)</f>
        <v>1.4200000166893005</v>
      </c>
      <c r="M23" s="1">
        <v>1</v>
      </c>
      <c r="N23">
        <f>L23*(M23+1)*(M23+1)/(M23*M23+1)</f>
        <v>2.8400000333786011</v>
      </c>
      <c r="O23" s="1">
        <v>26.732511520385742</v>
      </c>
      <c r="P23" s="1">
        <v>27.347721099853516</v>
      </c>
      <c r="Q23" s="1">
        <v>26.629692077636719</v>
      </c>
      <c r="R23" s="1">
        <v>418.53134155273438</v>
      </c>
      <c r="S23" s="1">
        <v>413.636474609375</v>
      </c>
      <c r="T23" s="1">
        <v>11.623865127563477</v>
      </c>
      <c r="U23" s="1">
        <v>12.329154968261719</v>
      </c>
      <c r="V23" s="1">
        <v>33.111377716064453</v>
      </c>
      <c r="W23" s="1">
        <v>35.120445251464844</v>
      </c>
      <c r="X23" s="1">
        <v>330.6146240234375</v>
      </c>
      <c r="Y23" s="1">
        <v>1499.1214599609375</v>
      </c>
      <c r="Z23" s="1">
        <v>0.24587909877300262</v>
      </c>
      <c r="AA23" s="1">
        <v>100.36402130126953</v>
      </c>
      <c r="AB23" s="1">
        <v>99.638298034667969</v>
      </c>
      <c r="AC23" s="1">
        <v>1.9616386890411377</v>
      </c>
      <c r="AD23" s="1">
        <v>0.66666668653488159</v>
      </c>
      <c r="AE23" s="1">
        <v>-0.21956524252891541</v>
      </c>
      <c r="AF23" s="1">
        <v>2.737391471862793</v>
      </c>
      <c r="AG23" s="1">
        <v>1</v>
      </c>
      <c r="AH23" s="1">
        <v>0</v>
      </c>
      <c r="AI23" s="1">
        <v>0.15999999642372131</v>
      </c>
      <c r="AJ23" s="1">
        <v>112225</v>
      </c>
      <c r="AK23">
        <f>X23*0.000001/(K23*0.0001)</f>
        <v>0.55102437337239574</v>
      </c>
      <c r="AL23">
        <f>(U23-T23)/(1000-U23)*AK23</f>
        <v>3.9348320796507585E-4</v>
      </c>
      <c r="AM23">
        <f>(P23+273.15)</f>
        <v>300.49772109985349</v>
      </c>
      <c r="AN23">
        <f>(O23+273.15)</f>
        <v>299.88251152038572</v>
      </c>
      <c r="AO23">
        <f>(Y23*AG23+Z23*AH23)*AI23</f>
        <v>239.85942823247387</v>
      </c>
      <c r="AP23">
        <f>((AO23+0.00000010773*(AN23^4-AM23^4))-AL23*44100)/(L23*51.4+0.00000043092*AM23^3)</f>
        <v>2.5429047935096118</v>
      </c>
      <c r="AQ23">
        <f>0.61365*EXP(17.502*J23/(240.97+J23))</f>
        <v>3.6529099805916028</v>
      </c>
      <c r="AR23">
        <f>AQ23*1000/AA23</f>
        <v>36.396608398406173</v>
      </c>
      <c r="AS23">
        <f>(AR23-U23)</f>
        <v>24.067453430144454</v>
      </c>
      <c r="AT23">
        <f>IF(D23,P23,(O23+P23)/2)</f>
        <v>27.040116310119629</v>
      </c>
      <c r="AU23">
        <f>0.61365*EXP(17.502*AT23/(240.97+AT23))</f>
        <v>3.5876013361430701</v>
      </c>
      <c r="AV23">
        <f>IF(AS23&lt;&gt;0,(1000-(AR23+U23)/2)/AS23*AL23,0)</f>
        <v>1.5950870092646105E-2</v>
      </c>
      <c r="AW23">
        <f>U23*AA23/1000</f>
        <v>1.2374035718612721</v>
      </c>
      <c r="AX23">
        <f>(AU23-AW23)</f>
        <v>2.3501977642817979</v>
      </c>
      <c r="AY23">
        <f>1/(1.6/F23+1.37/N23)</f>
        <v>9.9773492440727984E-3</v>
      </c>
      <c r="AZ23">
        <f>G23*AA23*0.001</f>
        <v>14.907328184352883</v>
      </c>
      <c r="BA23">
        <f>G23/S23</f>
        <v>0.35908968548083808</v>
      </c>
      <c r="BB23">
        <f>(1-AL23*AA23/AQ23/F23)*100</f>
        <v>32.603892056059657</v>
      </c>
      <c r="BC23">
        <f>(S23-E23/(N23/1.35))</f>
        <v>412.43172702586509</v>
      </c>
      <c r="BD23">
        <f>E23*BB23/100/BC23</f>
        <v>2.0035400137867966E-3</v>
      </c>
    </row>
    <row r="24" spans="1:56" x14ac:dyDescent="0.25">
      <c r="A24" s="1">
        <v>9</v>
      </c>
      <c r="B24" s="1" t="s">
        <v>82</v>
      </c>
      <c r="C24" s="1">
        <v>1841.9999690204859</v>
      </c>
      <c r="D24" s="1">
        <v>0</v>
      </c>
      <c r="E24">
        <f>(R24-S24*(1000-T24)/(1000-U24))*AK24</f>
        <v>3.0101770141297313</v>
      </c>
      <c r="F24">
        <f>IF(AV24&lt;&gt;0,1/(1/AV24-1/N24),0)</f>
        <v>1.9510066778358683E-2</v>
      </c>
      <c r="G24">
        <f>((AY24-AL24/2)*S24-E24)/(AY24+AL24/2)</f>
        <v>153.66071307018305</v>
      </c>
      <c r="H24">
        <f>AL24*1000</f>
        <v>0.48361463787214881</v>
      </c>
      <c r="I24">
        <f>(AQ24-AW24)</f>
        <v>2.443023756713</v>
      </c>
      <c r="J24">
        <f>(P24+AP24*D24)</f>
        <v>27.562692642211914</v>
      </c>
      <c r="K24" s="1">
        <v>6</v>
      </c>
      <c r="L24">
        <f>(K24*AE24+AF24)</f>
        <v>1.4200000166893005</v>
      </c>
      <c r="M24" s="1">
        <v>1</v>
      </c>
      <c r="N24">
        <f>L24*(M24+1)*(M24+1)/(M24*M24+1)</f>
        <v>2.8400000333786011</v>
      </c>
      <c r="O24" s="1">
        <v>26.792686462402344</v>
      </c>
      <c r="P24" s="1">
        <v>27.562692642211914</v>
      </c>
      <c r="Q24" s="1">
        <v>26.695444107055664</v>
      </c>
      <c r="R24" s="1">
        <v>419.09268188476562</v>
      </c>
      <c r="S24" s="1">
        <v>413.2830810546875</v>
      </c>
      <c r="T24" s="1">
        <v>11.651791572570801</v>
      </c>
      <c r="U24" s="1">
        <v>12.516091346740723</v>
      </c>
      <c r="V24" s="1">
        <v>33.072990417480469</v>
      </c>
      <c r="W24" s="1">
        <v>35.526260375976563</v>
      </c>
      <c r="X24" s="1">
        <v>331.5250244140625</v>
      </c>
      <c r="Y24" s="1">
        <v>1499.3284912109375</v>
      </c>
      <c r="Z24" s="1">
        <v>0.52188050746917725</v>
      </c>
      <c r="AA24" s="1">
        <v>100.36210632324219</v>
      </c>
      <c r="AB24" s="1">
        <v>99.638298034667969</v>
      </c>
      <c r="AC24" s="1">
        <v>1.9616386890411377</v>
      </c>
      <c r="AD24" s="1">
        <v>1</v>
      </c>
      <c r="AE24" s="1">
        <v>-0.21956524252891541</v>
      </c>
      <c r="AF24" s="1">
        <v>2.737391471862793</v>
      </c>
      <c r="AG24" s="1">
        <v>1</v>
      </c>
      <c r="AH24" s="1">
        <v>0</v>
      </c>
      <c r="AI24" s="1">
        <v>0.15999999642372131</v>
      </c>
      <c r="AJ24" s="1">
        <v>112225</v>
      </c>
      <c r="AK24">
        <f>X24*0.000001/(K24*0.0001)</f>
        <v>0.55254170735677077</v>
      </c>
      <c r="AL24">
        <f>(U24-T24)/(1000-U24)*AK24</f>
        <v>4.8361463787214881E-4</v>
      </c>
      <c r="AM24">
        <f>(P24+273.15)</f>
        <v>300.71269264221189</v>
      </c>
      <c r="AN24">
        <f>(O24+273.15)</f>
        <v>299.94268646240232</v>
      </c>
      <c r="AO24">
        <f>(Y24*AG24+Z24*AH24)*AI24</f>
        <v>239.89255323173347</v>
      </c>
      <c r="AP24">
        <f>((AO24+0.00000010773*(AN24^4-AM24^4))-AL24*44100)/(L24*51.4+0.00000043092*AM24^3)</f>
        <v>2.4741688555351282</v>
      </c>
      <c r="AQ24">
        <f>0.61365*EXP(17.502*J24/(240.97+J24))</f>
        <v>3.6991650472060038</v>
      </c>
      <c r="AR24">
        <f>AQ24*1000/AA24</f>
        <v>36.858184654792751</v>
      </c>
      <c r="AS24">
        <f>(AR24-U24)</f>
        <v>24.342093308052029</v>
      </c>
      <c r="AT24">
        <f>IF(D24,P24,(O24+P24)/2)</f>
        <v>27.177689552307129</v>
      </c>
      <c r="AU24">
        <f>0.61365*EXP(17.502*AT24/(240.97+AT24))</f>
        <v>3.6166829074322591</v>
      </c>
      <c r="AV24">
        <f>IF(AS24&lt;&gt;0,(1000-(AR24+U24)/2)/AS24*AL24,0)</f>
        <v>1.9376952121524588E-2</v>
      </c>
      <c r="AW24">
        <f>U24*AA24/1000</f>
        <v>1.2561412904930038</v>
      </c>
      <c r="AX24">
        <f>(AU24-AW24)</f>
        <v>2.3605416169392552</v>
      </c>
      <c r="AY24">
        <f>1/(1.6/F24+1.37/N24)</f>
        <v>1.212248465880396E-2</v>
      </c>
      <c r="AZ24">
        <f>G24*AA24*0.001</f>
        <v>15.421712822854921</v>
      </c>
      <c r="BA24">
        <f>G24/S24</f>
        <v>0.37180499302813214</v>
      </c>
      <c r="BB24">
        <f>(1-AL24*AA24/AQ24/F24)*100</f>
        <v>32.747762175851456</v>
      </c>
      <c r="BC24">
        <f>(S24-E24/(N24/1.35))</f>
        <v>411.85218706830938</v>
      </c>
      <c r="BD24">
        <f>E24*BB24/100/BC24</f>
        <v>2.3934936868402566E-3</v>
      </c>
    </row>
    <row r="25" spans="1:56" x14ac:dyDescent="0.25">
      <c r="A25" s="1">
        <v>10</v>
      </c>
      <c r="B25" s="1" t="s">
        <v>83</v>
      </c>
      <c r="C25" s="1">
        <v>1935.9999669194221</v>
      </c>
      <c r="D25" s="1">
        <v>0</v>
      </c>
      <c r="E25">
        <f>(R25-S25*(1000-T25)/(1000-U25))*AK25</f>
        <v>3.167999525276977</v>
      </c>
      <c r="F25">
        <f>IF(AV25&lt;&gt;0,1/(1/AV25-1/N25),0)</f>
        <v>1.9192890657411168E-2</v>
      </c>
      <c r="G25">
        <f>((AY25-AL25/2)*S25-E25)/(AY25+AL25/2)</f>
        <v>136.16826214318974</v>
      </c>
      <c r="H25">
        <f>AL25*1000</f>
        <v>0.47553884462295576</v>
      </c>
      <c r="I25">
        <f>(AQ25-AW25)</f>
        <v>2.4415557176463851</v>
      </c>
      <c r="J25">
        <f>(P25+AP25*D25)</f>
        <v>27.571849822998047</v>
      </c>
      <c r="K25" s="1">
        <v>6</v>
      </c>
      <c r="L25">
        <f>(K25*AE25+AF25)</f>
        <v>1.4200000166893005</v>
      </c>
      <c r="M25" s="1">
        <v>1</v>
      </c>
      <c r="N25">
        <f>L25*(M25+1)*(M25+1)/(M25*M25+1)</f>
        <v>2.8400000333786011</v>
      </c>
      <c r="O25" s="1">
        <v>26.886508941650391</v>
      </c>
      <c r="P25" s="1">
        <v>27.571849822998047</v>
      </c>
      <c r="Q25" s="1">
        <v>26.790224075317383</v>
      </c>
      <c r="R25" s="1">
        <v>418.80926513671875</v>
      </c>
      <c r="S25" s="1">
        <v>412.7373046875</v>
      </c>
      <c r="T25" s="1">
        <v>11.703127861022949</v>
      </c>
      <c r="U25" s="1">
        <v>12.550625801086426</v>
      </c>
      <c r="V25" s="1">
        <v>33.035514831542969</v>
      </c>
      <c r="W25" s="1">
        <v>35.427825927734375</v>
      </c>
      <c r="X25" s="1">
        <v>332.44012451171875</v>
      </c>
      <c r="Y25" s="1">
        <v>1499.533447265625</v>
      </c>
      <c r="Z25" s="1">
        <v>0.18867884576320648</v>
      </c>
      <c r="AA25" s="1">
        <v>100.36080932617187</v>
      </c>
      <c r="AB25" s="1">
        <v>99.638298034667969</v>
      </c>
      <c r="AC25" s="1">
        <v>1.9616386890411377</v>
      </c>
      <c r="AD25" s="1">
        <v>0.66666668653488159</v>
      </c>
      <c r="AE25" s="1">
        <v>-0.21956524252891541</v>
      </c>
      <c r="AF25" s="1">
        <v>2.737391471862793</v>
      </c>
      <c r="AG25" s="1">
        <v>1</v>
      </c>
      <c r="AH25" s="1">
        <v>0</v>
      </c>
      <c r="AI25" s="1">
        <v>0.15999999642372131</v>
      </c>
      <c r="AJ25" s="1">
        <v>112225</v>
      </c>
      <c r="AK25">
        <f>X25*0.000001/(K25*0.0001)</f>
        <v>0.55406687418619782</v>
      </c>
      <c r="AL25">
        <f>(U25-T25)/(1000-U25)*AK25</f>
        <v>4.7553884462295574E-4</v>
      </c>
      <c r="AM25">
        <f>(P25+273.15)</f>
        <v>300.72184982299802</v>
      </c>
      <c r="AN25">
        <f>(O25+273.15)</f>
        <v>300.03650894165037</v>
      </c>
      <c r="AO25">
        <f>(Y25*AG25+Z25*AH25)*AI25</f>
        <v>239.92534619975049</v>
      </c>
      <c r="AP25">
        <f>((AO25+0.00000010773*(AN25^4-AM25^4))-AL25*44100)/(L25*51.4+0.00000043092*AM25^3)</f>
        <v>2.4903478487014388</v>
      </c>
      <c r="AQ25">
        <f>0.61365*EXP(17.502*J25/(240.97+J25))</f>
        <v>3.7011466805933528</v>
      </c>
      <c r="AR25">
        <f>AQ25*1000/AA25</f>
        <v>36.878406077462508</v>
      </c>
      <c r="AS25">
        <f>(AR25-U25)</f>
        <v>24.327780276376082</v>
      </c>
      <c r="AT25">
        <f>IF(D25,P25,(O25+P25)/2)</f>
        <v>27.229179382324219</v>
      </c>
      <c r="AU25">
        <f>0.61365*EXP(17.502*AT25/(240.97+AT25))</f>
        <v>3.6276201260849632</v>
      </c>
      <c r="AV25">
        <f>IF(AS25&lt;&gt;0,(1000-(AR25+U25)/2)/AS25*AL25,0)</f>
        <v>1.906405463215011E-2</v>
      </c>
      <c r="AW25">
        <f>U25*AA25/1000</f>
        <v>1.2595909629469679</v>
      </c>
      <c r="AX25">
        <f>(AU25-AW25)</f>
        <v>2.3680291631379955</v>
      </c>
      <c r="AY25">
        <f>1/(1.6/F25+1.37/N25)</f>
        <v>1.1926542661684185E-2</v>
      </c>
      <c r="AZ25">
        <f>G25*AA25*0.001</f>
        <v>13.665956993228853</v>
      </c>
      <c r="BA25">
        <f>G25/S25</f>
        <v>0.32991508302426942</v>
      </c>
      <c r="BB25">
        <f>(1-AL25*AA25/AQ25/F25)*100</f>
        <v>32.814822787858567</v>
      </c>
      <c r="BC25">
        <f>(S25-E25/(N25/1.35))</f>
        <v>411.2313894379019</v>
      </c>
      <c r="BD25">
        <f>E25*BB25/100/BC25</f>
        <v>2.5279525270694879E-3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"/>
  <sheetViews>
    <sheetView workbookViewId="0">
      <selection activeCell="F35" sqref="F35"/>
    </sheetView>
  </sheetViews>
  <sheetFormatPr defaultRowHeight="15" x14ac:dyDescent="0.25"/>
  <sheetData>
    <row r="1" spans="1:56" x14ac:dyDescent="0.25">
      <c r="A1" s="1" t="s">
        <v>0</v>
      </c>
    </row>
    <row r="2" spans="1:56" x14ac:dyDescent="0.25">
      <c r="A2" s="1" t="s">
        <v>89</v>
      </c>
    </row>
    <row r="3" spans="1:56" x14ac:dyDescent="0.25">
      <c r="A3" s="1" t="s">
        <v>2</v>
      </c>
      <c r="B3" s="1" t="s">
        <v>3</v>
      </c>
    </row>
    <row r="4" spans="1:56" x14ac:dyDescent="0.25">
      <c r="A4" s="1" t="s">
        <v>4</v>
      </c>
      <c r="B4" s="1" t="s">
        <v>5</v>
      </c>
      <c r="C4" s="1">
        <v>1</v>
      </c>
      <c r="D4" s="1">
        <v>0.15999999642372131</v>
      </c>
    </row>
    <row r="5" spans="1:56" x14ac:dyDescent="0.25">
      <c r="A5" s="1" t="s">
        <v>6</v>
      </c>
      <c r="B5" s="1">
        <v>4</v>
      </c>
    </row>
    <row r="6" spans="1:56" x14ac:dyDescent="0.25">
      <c r="A6" s="1" t="s">
        <v>7</v>
      </c>
      <c r="B6" s="1" t="s">
        <v>8</v>
      </c>
    </row>
    <row r="7" spans="1:56" x14ac:dyDescent="0.25">
      <c r="A7" s="1" t="s">
        <v>9</v>
      </c>
      <c r="B7" s="1" t="s">
        <v>90</v>
      </c>
    </row>
    <row r="9" spans="1:56" x14ac:dyDescent="0.25">
      <c r="A9" s="1" t="s">
        <v>11</v>
      </c>
      <c r="B9" s="1" t="s">
        <v>12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  <c r="K9" s="1" t="s">
        <v>21</v>
      </c>
      <c r="L9" s="1" t="s">
        <v>22</v>
      </c>
      <c r="M9" s="1" t="s">
        <v>23</v>
      </c>
      <c r="N9" s="1" t="s">
        <v>24</v>
      </c>
      <c r="O9" s="1" t="s">
        <v>25</v>
      </c>
      <c r="P9" s="1" t="s">
        <v>26</v>
      </c>
      <c r="Q9" s="1" t="s">
        <v>27</v>
      </c>
      <c r="R9" s="1" t="s">
        <v>28</v>
      </c>
      <c r="S9" s="1" t="s">
        <v>29</v>
      </c>
      <c r="T9" s="1" t="s">
        <v>30</v>
      </c>
      <c r="U9" s="1" t="s">
        <v>31</v>
      </c>
      <c r="V9" s="1" t="s">
        <v>32</v>
      </c>
      <c r="W9" s="1" t="s">
        <v>33</v>
      </c>
      <c r="X9" s="1" t="s">
        <v>34</v>
      </c>
      <c r="Y9" s="1" t="s">
        <v>35</v>
      </c>
      <c r="Z9" s="1" t="s">
        <v>36</v>
      </c>
      <c r="AA9" s="1" t="s">
        <v>37</v>
      </c>
      <c r="AB9" s="1" t="s">
        <v>38</v>
      </c>
      <c r="AC9" s="1" t="s">
        <v>39</v>
      </c>
      <c r="AD9" s="1" t="s">
        <v>40</v>
      </c>
      <c r="AE9" s="1" t="s">
        <v>41</v>
      </c>
      <c r="AF9" s="1" t="s">
        <v>42</v>
      </c>
      <c r="AG9" s="1" t="s">
        <v>43</v>
      </c>
      <c r="AH9" s="1" t="s">
        <v>44</v>
      </c>
      <c r="AI9" s="1" t="s">
        <v>45</v>
      </c>
      <c r="AJ9" s="1" t="s">
        <v>46</v>
      </c>
      <c r="AK9" s="1" t="s">
        <v>47</v>
      </c>
      <c r="AL9" s="1" t="s">
        <v>48</v>
      </c>
      <c r="AM9" s="1" t="s">
        <v>49</v>
      </c>
      <c r="AN9" s="1" t="s">
        <v>50</v>
      </c>
      <c r="AO9" s="1" t="s">
        <v>51</v>
      </c>
      <c r="AP9" s="1" t="s">
        <v>52</v>
      </c>
      <c r="AQ9" s="1" t="s">
        <v>53</v>
      </c>
      <c r="AR9" s="1" t="s">
        <v>54</v>
      </c>
      <c r="AS9" s="1" t="s">
        <v>55</v>
      </c>
      <c r="AT9" s="1" t="s">
        <v>56</v>
      </c>
      <c r="AU9" s="1" t="s">
        <v>57</v>
      </c>
      <c r="AV9" s="1" t="s">
        <v>58</v>
      </c>
      <c r="AW9" s="1" t="s">
        <v>59</v>
      </c>
      <c r="AX9" s="1" t="s">
        <v>60</v>
      </c>
      <c r="AY9" s="1" t="s">
        <v>61</v>
      </c>
      <c r="AZ9" s="1" t="s">
        <v>62</v>
      </c>
      <c r="BA9" s="1" t="s">
        <v>63</v>
      </c>
      <c r="BB9" s="1" t="s">
        <v>64</v>
      </c>
      <c r="BC9" s="1" t="s">
        <v>65</v>
      </c>
      <c r="BD9" s="1" t="s">
        <v>66</v>
      </c>
    </row>
    <row r="10" spans="1:56" x14ac:dyDescent="0.25">
      <c r="A10" s="1" t="s">
        <v>67</v>
      </c>
      <c r="B10" s="1" t="s">
        <v>67</v>
      </c>
      <c r="C10" s="1" t="s">
        <v>67</v>
      </c>
      <c r="D10" s="1" t="s">
        <v>67</v>
      </c>
      <c r="E10" s="1" t="s">
        <v>68</v>
      </c>
      <c r="F10" s="1" t="s">
        <v>68</v>
      </c>
      <c r="G10" s="1" t="s">
        <v>68</v>
      </c>
      <c r="H10" s="1" t="s">
        <v>68</v>
      </c>
      <c r="I10" s="1" t="s">
        <v>68</v>
      </c>
      <c r="J10" s="1" t="s">
        <v>68</v>
      </c>
      <c r="K10" s="1" t="s">
        <v>67</v>
      </c>
      <c r="L10" s="1" t="s">
        <v>68</v>
      </c>
      <c r="M10" s="1" t="s">
        <v>67</v>
      </c>
      <c r="N10" s="1" t="s">
        <v>68</v>
      </c>
      <c r="O10" s="1" t="s">
        <v>67</v>
      </c>
      <c r="P10" s="1" t="s">
        <v>67</v>
      </c>
      <c r="Q10" s="1" t="s">
        <v>67</v>
      </c>
      <c r="R10" s="1" t="s">
        <v>67</v>
      </c>
      <c r="S10" s="1" t="s">
        <v>67</v>
      </c>
      <c r="T10" s="1" t="s">
        <v>67</v>
      </c>
      <c r="U10" s="1" t="s">
        <v>67</v>
      </c>
      <c r="V10" s="1" t="s">
        <v>67</v>
      </c>
      <c r="W10" s="1" t="s">
        <v>67</v>
      </c>
      <c r="X10" s="1" t="s">
        <v>67</v>
      </c>
      <c r="Y10" s="1" t="s">
        <v>67</v>
      </c>
      <c r="Z10" s="1" t="s">
        <v>67</v>
      </c>
      <c r="AA10" s="1" t="s">
        <v>67</v>
      </c>
      <c r="AB10" s="1" t="s">
        <v>67</v>
      </c>
      <c r="AC10" s="1" t="s">
        <v>67</v>
      </c>
      <c r="AD10" s="1" t="s">
        <v>67</v>
      </c>
      <c r="AE10" s="1" t="s">
        <v>67</v>
      </c>
      <c r="AF10" s="1" t="s">
        <v>67</v>
      </c>
      <c r="AG10" s="1" t="s">
        <v>67</v>
      </c>
      <c r="AH10" s="1" t="s">
        <v>67</v>
      </c>
      <c r="AI10" s="1" t="s">
        <v>67</v>
      </c>
      <c r="AJ10" s="1" t="s">
        <v>67</v>
      </c>
      <c r="AK10" s="1" t="s">
        <v>68</v>
      </c>
      <c r="AL10" s="1" t="s">
        <v>68</v>
      </c>
      <c r="AM10" s="1" t="s">
        <v>68</v>
      </c>
      <c r="AN10" s="1" t="s">
        <v>68</v>
      </c>
      <c r="AO10" s="1" t="s">
        <v>68</v>
      </c>
      <c r="AP10" s="1" t="s">
        <v>68</v>
      </c>
      <c r="AQ10" s="1" t="s">
        <v>68</v>
      </c>
      <c r="AR10" s="1" t="s">
        <v>68</v>
      </c>
      <c r="AS10" s="1" t="s">
        <v>68</v>
      </c>
      <c r="AT10" s="1" t="s">
        <v>68</v>
      </c>
      <c r="AU10" s="1" t="s">
        <v>68</v>
      </c>
      <c r="AV10" s="1" t="s">
        <v>68</v>
      </c>
      <c r="AW10" s="1" t="s">
        <v>68</v>
      </c>
      <c r="AX10" s="1" t="s">
        <v>68</v>
      </c>
      <c r="AY10" s="1" t="s">
        <v>68</v>
      </c>
      <c r="AZ10" s="1" t="s">
        <v>68</v>
      </c>
      <c r="BA10" s="1" t="s">
        <v>68</v>
      </c>
      <c r="BB10" s="1" t="s">
        <v>68</v>
      </c>
      <c r="BC10" s="1" t="s">
        <v>68</v>
      </c>
      <c r="BD10" s="1" t="s">
        <v>68</v>
      </c>
    </row>
    <row r="11" spans="1:56" x14ac:dyDescent="0.25">
      <c r="A11" s="1">
        <v>1</v>
      </c>
      <c r="B11" s="1" t="s">
        <v>91</v>
      </c>
      <c r="C11" s="1">
        <v>11.999999731779099</v>
      </c>
      <c r="D11" s="1">
        <v>0</v>
      </c>
      <c r="E11">
        <f>(R11-S11*(1000-T11)/(1000-U11))*AK11</f>
        <v>23.17569146067143</v>
      </c>
      <c r="F11">
        <f>IF(AV11&lt;&gt;0,1/(1/AV11-1/N11),0)</f>
        <v>1.5148738912729181E-2</v>
      </c>
      <c r="G11">
        <f>((AY11-AL11/2)*S11-E11)/(AY11+AL11/2)</f>
        <v>-2004.9704712965531</v>
      </c>
      <c r="H11">
        <f>AL11*1000</f>
        <v>0.56150733786561868</v>
      </c>
      <c r="I11">
        <f>(AQ11-AW11)</f>
        <v>3.6522724994573386</v>
      </c>
      <c r="J11">
        <f>(P11+AP11*D11)</f>
        <v>30.548215866088867</v>
      </c>
      <c r="K11" s="1">
        <v>6</v>
      </c>
      <c r="L11">
        <f>(K11*AE11+AF11)</f>
        <v>1.4200000166893005</v>
      </c>
      <c r="M11" s="1">
        <v>1</v>
      </c>
      <c r="N11">
        <f>L11*(M11+1)*(M11+1)/(M11*M11+1)</f>
        <v>2.8400000333786011</v>
      </c>
      <c r="O11" s="1">
        <v>28.209257125854492</v>
      </c>
      <c r="P11" s="1">
        <v>30.548215866088867</v>
      </c>
      <c r="Q11" s="1">
        <v>28.098670959472656</v>
      </c>
      <c r="R11" s="1">
        <v>441.55279541015625</v>
      </c>
      <c r="S11" s="1">
        <v>406.39169311523437</v>
      </c>
      <c r="T11" s="1">
        <v>6.561558723449707</v>
      </c>
      <c r="U11" s="1">
        <v>7.3989043235778809</v>
      </c>
      <c r="V11" s="1">
        <v>17.180513381958008</v>
      </c>
      <c r="W11" s="1">
        <v>19.37298583984375</v>
      </c>
      <c r="X11" s="1">
        <v>399.37115478515625</v>
      </c>
      <c r="Y11" s="1">
        <v>1500.7872314453125</v>
      </c>
      <c r="Z11" s="1">
        <v>0.25892305374145508</v>
      </c>
      <c r="AA11" s="1">
        <v>100.58110046386719</v>
      </c>
      <c r="AB11" s="1">
        <v>70.567420959472656</v>
      </c>
      <c r="AC11" s="1">
        <v>2.0539712905883789</v>
      </c>
      <c r="AD11" s="1">
        <v>1</v>
      </c>
      <c r="AE11" s="1">
        <v>-0.21956524252891541</v>
      </c>
      <c r="AF11" s="1">
        <v>2.737391471862793</v>
      </c>
      <c r="AG11" s="1">
        <v>1</v>
      </c>
      <c r="AH11" s="1">
        <v>0</v>
      </c>
      <c r="AI11" s="1">
        <v>0.15999999642372131</v>
      </c>
      <c r="AJ11" s="1">
        <v>111125</v>
      </c>
      <c r="AK11">
        <f>X11*0.000001/(K11*0.0001)</f>
        <v>0.66561859130859369</v>
      </c>
      <c r="AL11">
        <f>(U11-T11)/(1000-U11)*AK11</f>
        <v>5.6150733786561866E-4</v>
      </c>
      <c r="AM11">
        <f>(P11+273.15)</f>
        <v>303.69821586608884</v>
      </c>
      <c r="AN11">
        <f>(O11+273.15)</f>
        <v>301.35925712585447</v>
      </c>
      <c r="AO11">
        <f>(Y11*AG11+Z11*AH11)*AI11</f>
        <v>240.12595166401661</v>
      </c>
      <c r="AP11">
        <f>((AO11+0.00000010773*(AN11^4-AM11^4))-AL11*44100)/(L11*51.4+0.00000043092*AM11^3)</f>
        <v>2.2038454916360446</v>
      </c>
      <c r="AQ11">
        <f>0.61365*EXP(17.502*J11/(240.97+J11))</f>
        <v>4.3964624385496665</v>
      </c>
      <c r="AR11">
        <f>AQ11*1000/AA11</f>
        <v>43.710621759691861</v>
      </c>
      <c r="AS11">
        <f>(AR11-U11)</f>
        <v>36.31171743611398</v>
      </c>
      <c r="AT11">
        <f>IF(D11,P11,(O11+P11)/2)</f>
        <v>29.37873649597168</v>
      </c>
      <c r="AU11">
        <f>0.61365*EXP(17.502*AT11/(240.97+AT11))</f>
        <v>4.1107597460969005</v>
      </c>
      <c r="AV11">
        <f>IF(AS11&lt;&gt;0,(1000-(AR11+U11)/2)/AS11*AL11,0)</f>
        <v>1.5068363314486057E-2</v>
      </c>
      <c r="AW11">
        <f>U11*AA11/1000</f>
        <v>0.74418993909232811</v>
      </c>
      <c r="AX11">
        <f>(AU11-AW11)</f>
        <v>3.3665698070045726</v>
      </c>
      <c r="AY11">
        <f>1/(1.6/F11+1.37/N11)</f>
        <v>9.4249154851290245E-3</v>
      </c>
      <c r="AZ11">
        <f>G11*AA11*0.001</f>
        <v>-201.66213640056574</v>
      </c>
      <c r="BA11">
        <f>G11/S11</f>
        <v>-4.9335911763531888</v>
      </c>
      <c r="BB11">
        <f>(1-AL11*AA11/AQ11/F11)*100</f>
        <v>15.200757788582631</v>
      </c>
      <c r="BC11">
        <f>(S11-E11/(N11/1.35))</f>
        <v>395.37507934615434</v>
      </c>
      <c r="BD11">
        <f>E11*BB11/100/BC11</f>
        <v>8.910224515393847E-3</v>
      </c>
    </row>
    <row r="12" spans="1:56" x14ac:dyDescent="0.25">
      <c r="A12" s="1" t="s">
        <v>9</v>
      </c>
      <c r="B12" s="1" t="s">
        <v>92</v>
      </c>
    </row>
    <row r="13" spans="1:56" x14ac:dyDescent="0.25">
      <c r="A13" s="1" t="s">
        <v>9</v>
      </c>
      <c r="B13" s="1" t="s">
        <v>93</v>
      </c>
    </row>
    <row r="14" spans="1:56" x14ac:dyDescent="0.25">
      <c r="A14" s="1">
        <v>2</v>
      </c>
      <c r="B14" s="1" t="s">
        <v>94</v>
      </c>
      <c r="C14" s="1">
        <v>164.00000867247581</v>
      </c>
      <c r="D14" s="1">
        <v>0</v>
      </c>
      <c r="E14">
        <f>(R14-S14*(1000-T14)/(1000-U14))*AK14</f>
        <v>25.201847761526469</v>
      </c>
      <c r="F14">
        <f>IF(AV14&lt;&gt;0,1/(1/AV14-1/N14),0)</f>
        <v>2.5189122948251815E-2</v>
      </c>
      <c r="G14">
        <f>((AY14-AL14/2)*S14-E14)/(AY14+AL14/2)</f>
        <v>-1190.325954884441</v>
      </c>
      <c r="H14">
        <f>AL14*1000</f>
        <v>0.91888870078947604</v>
      </c>
      <c r="I14">
        <f>(AQ14-AW14)</f>
        <v>3.6055286665867121</v>
      </c>
      <c r="J14">
        <f>(P14+AP14*D14)</f>
        <v>30.607440948486328</v>
      </c>
      <c r="K14" s="1">
        <v>6</v>
      </c>
      <c r="L14">
        <f>(K14*AE14+AF14)</f>
        <v>1.4200000166893005</v>
      </c>
      <c r="M14" s="1">
        <v>1</v>
      </c>
      <c r="N14">
        <f>L14*(M14+1)*(M14+1)/(M14*M14+1)</f>
        <v>2.8400000333786011</v>
      </c>
      <c r="O14" s="1">
        <v>28.544702529907227</v>
      </c>
      <c r="P14" s="1">
        <v>30.607440948486328</v>
      </c>
      <c r="Q14" s="1">
        <v>28.441608428955078</v>
      </c>
      <c r="R14" s="1">
        <v>437.70840454101562</v>
      </c>
      <c r="S14" s="1">
        <v>399.381591796875</v>
      </c>
      <c r="T14" s="1">
        <v>6.6459698677062988</v>
      </c>
      <c r="U14" s="1">
        <v>8.0123167037963867</v>
      </c>
      <c r="V14" s="1">
        <v>17.064714431762695</v>
      </c>
      <c r="W14" s="1">
        <v>20.573053359985352</v>
      </c>
      <c r="X14" s="1">
        <v>400.27593994140625</v>
      </c>
      <c r="Y14" s="1">
        <v>1498.8074951171875</v>
      </c>
      <c r="Z14" s="1">
        <v>0.58909803628921509</v>
      </c>
      <c r="AA14" s="1">
        <v>100.57659149169922</v>
      </c>
      <c r="AB14" s="1">
        <v>70.567420959472656</v>
      </c>
      <c r="AC14" s="1">
        <v>2.0539712905883789</v>
      </c>
      <c r="AD14" s="1">
        <v>1</v>
      </c>
      <c r="AE14" s="1">
        <v>-0.21956524252891541</v>
      </c>
      <c r="AF14" s="1">
        <v>2.737391471862793</v>
      </c>
      <c r="AG14" s="1">
        <v>1</v>
      </c>
      <c r="AH14" s="1">
        <v>0</v>
      </c>
      <c r="AI14" s="1">
        <v>0.15999999642372131</v>
      </c>
      <c r="AJ14" s="1">
        <v>111125</v>
      </c>
      <c r="AK14">
        <f>X14*0.000001/(K14*0.0001)</f>
        <v>0.66712656656901037</v>
      </c>
      <c r="AL14">
        <f>(U14-T14)/(1000-U14)*AK14</f>
        <v>9.1888870078947601E-4</v>
      </c>
      <c r="AM14">
        <f>(P14+273.15)</f>
        <v>303.75744094848631</v>
      </c>
      <c r="AN14">
        <f>(O14+273.15)</f>
        <v>301.6947025299072</v>
      </c>
      <c r="AO14">
        <f>(Y14*AG14+Z14*AH14)*AI14</f>
        <v>239.8091938585967</v>
      </c>
      <c r="AP14">
        <f>((AO14+0.00000010773*(AN14^4-AM14^4))-AL14*44100)/(L14*51.4+0.00000043092*AM14^3)</f>
        <v>2.0528422295805968</v>
      </c>
      <c r="AQ14">
        <f>0.61365*EXP(17.502*J14/(240.97+J14))</f>
        <v>4.4113801706065594</v>
      </c>
      <c r="AR14">
        <f>AQ14*1000/AA14</f>
        <v>43.860903468483912</v>
      </c>
      <c r="AS14">
        <f>(AR14-U14)</f>
        <v>35.848586764687525</v>
      </c>
      <c r="AT14">
        <f>IF(D14,P14,(O14+P14)/2)</f>
        <v>29.576071739196777</v>
      </c>
      <c r="AU14">
        <f>0.61365*EXP(17.502*AT14/(240.97+AT14))</f>
        <v>4.1578016630154311</v>
      </c>
      <c r="AV14">
        <f>IF(AS14&lt;&gt;0,(1000-(AR14+U14)/2)/AS14*AL14,0)</f>
        <v>2.4967674422418512E-2</v>
      </c>
      <c r="AW14">
        <f>U14*AA14/1000</f>
        <v>0.80585150401984718</v>
      </c>
      <c r="AX14">
        <f>(AU14-AW14)</f>
        <v>3.3519501589955838</v>
      </c>
      <c r="AY14">
        <f>1/(1.6/F14+1.37/N14)</f>
        <v>1.5624542321813997E-2</v>
      </c>
      <c r="AZ14">
        <f>G14*AA14*0.001</f>
        <v>-119.71892730637923</v>
      </c>
      <c r="BA14">
        <f>G14/S14</f>
        <v>-2.9804226817991135</v>
      </c>
      <c r="BB14">
        <f>(1-AL14*AA14/AQ14/F14)*100</f>
        <v>16.82892942134049</v>
      </c>
      <c r="BC14">
        <f>(S14-E14/(N14/1.35))</f>
        <v>387.40184036089141</v>
      </c>
      <c r="BD14">
        <f>E14*BB14/100/BC14</f>
        <v>1.0947808530568665E-2</v>
      </c>
    </row>
    <row r="15" spans="1:56" x14ac:dyDescent="0.25">
      <c r="A15" s="1" t="s">
        <v>9</v>
      </c>
      <c r="B15" s="1" t="s">
        <v>95</v>
      </c>
    </row>
    <row r="16" spans="1:56" x14ac:dyDescent="0.25">
      <c r="A16" s="1">
        <v>3</v>
      </c>
      <c r="B16" s="1" t="s">
        <v>96</v>
      </c>
      <c r="C16" s="1">
        <v>290.00000585615635</v>
      </c>
      <c r="D16" s="1">
        <v>0</v>
      </c>
      <c r="E16">
        <f>(R16-S16*(1000-T16)/(1000-U16))*AK16</f>
        <v>24.314867457010958</v>
      </c>
      <c r="F16">
        <f>IF(AV16&lt;&gt;0,1/(1/AV16-1/N16),0)</f>
        <v>1.7967071054337421E-2</v>
      </c>
      <c r="G16">
        <f>((AY16-AL16/2)*S16-E16)/(AY16+AL16/2)</f>
        <v>-1735.4017792392578</v>
      </c>
      <c r="H16">
        <f>AL16*1000</f>
        <v>0.67773573280041655</v>
      </c>
      <c r="I16">
        <f>(AQ16-AW16)</f>
        <v>3.7178041959143746</v>
      </c>
      <c r="J16">
        <f>(P16+AP16*D16)</f>
        <v>30.924518585205078</v>
      </c>
      <c r="K16" s="1">
        <v>6</v>
      </c>
      <c r="L16">
        <f>(K16*AE16+AF16)</f>
        <v>1.4200000166893005</v>
      </c>
      <c r="M16" s="1">
        <v>1</v>
      </c>
      <c r="N16">
        <f>L16*(M16+1)*(M16+1)/(M16*M16+1)</f>
        <v>2.8400000333786011</v>
      </c>
      <c r="O16" s="1">
        <v>28.757080078125</v>
      </c>
      <c r="P16" s="1">
        <v>30.924518585205078</v>
      </c>
      <c r="Q16" s="1">
        <v>28.6517333984375</v>
      </c>
      <c r="R16" s="1">
        <v>437.98065185546875</v>
      </c>
      <c r="S16" s="1">
        <v>401.1280517578125</v>
      </c>
      <c r="T16" s="1">
        <v>6.6897268295288086</v>
      </c>
      <c r="U16" s="1">
        <v>7.6977529525756836</v>
      </c>
      <c r="V16" s="1">
        <v>16.966302871704102</v>
      </c>
      <c r="W16" s="1">
        <v>19.522830963134766</v>
      </c>
      <c r="X16" s="1">
        <v>400.29837036132812</v>
      </c>
      <c r="Y16" s="1">
        <v>1499.1737060546875</v>
      </c>
      <c r="Z16" s="1">
        <v>178.44293212890625</v>
      </c>
      <c r="AA16" s="1">
        <v>100.5740966796875</v>
      </c>
      <c r="AB16" s="1">
        <v>70.567420959472656</v>
      </c>
      <c r="AC16" s="1">
        <v>2.0539712905883789</v>
      </c>
      <c r="AD16" s="1">
        <v>1</v>
      </c>
      <c r="AE16" s="1">
        <v>-0.21956524252891541</v>
      </c>
      <c r="AF16" s="1">
        <v>2.737391471862793</v>
      </c>
      <c r="AG16" s="1">
        <v>1</v>
      </c>
      <c r="AH16" s="1">
        <v>0</v>
      </c>
      <c r="AI16" s="1">
        <v>0.15999999642372131</v>
      </c>
      <c r="AJ16" s="1">
        <v>111125</v>
      </c>
      <c r="AK16">
        <f>X16*0.000001/(K16*0.0001)</f>
        <v>0.66716395060221345</v>
      </c>
      <c r="AL16">
        <f>(U16-T16)/(1000-U16)*AK16</f>
        <v>6.7773573280041654E-4</v>
      </c>
      <c r="AM16">
        <f>(P16+273.15)</f>
        <v>304.07451858520506</v>
      </c>
      <c r="AN16">
        <f>(O16+273.15)</f>
        <v>301.90708007812498</v>
      </c>
      <c r="AO16">
        <f>(Y16*AG16+Z16*AH16)*AI16</f>
        <v>239.86778760728703</v>
      </c>
      <c r="AP16">
        <f>((AO16+0.00000010773*(AN16^4-AM16^4))-AL16*44100)/(L16*51.4+0.00000043092*AM16^3)</f>
        <v>2.1620735625489558</v>
      </c>
      <c r="AQ16">
        <f>0.61365*EXP(17.502*J16/(240.97+J16))</f>
        <v>4.4919987455830714</v>
      </c>
      <c r="AR16">
        <f>AQ16*1000/AA16</f>
        <v>44.66357535270113</v>
      </c>
      <c r="AS16">
        <f>(AR16-U16)</f>
        <v>36.965822400125447</v>
      </c>
      <c r="AT16">
        <f>IF(D16,P16,(O16+P16)/2)</f>
        <v>29.840799331665039</v>
      </c>
      <c r="AU16">
        <f>0.61365*EXP(17.502*AT16/(240.97+AT16))</f>
        <v>4.2216455952349117</v>
      </c>
      <c r="AV16">
        <f>IF(AS16&lt;&gt;0,(1000-(AR16+U16)/2)/AS16*AL16,0)</f>
        <v>1.7854118164931907E-2</v>
      </c>
      <c r="AW16">
        <f>U16*AA16/1000</f>
        <v>0.77419454966869672</v>
      </c>
      <c r="AX16">
        <f>(AU16-AW16)</f>
        <v>3.4474510455662148</v>
      </c>
      <c r="AY16">
        <f>1/(1.6/F16+1.37/N16)</f>
        <v>1.1168917288016181E-2</v>
      </c>
      <c r="AZ16">
        <f>G16*AA16*0.001</f>
        <v>-174.53646632331083</v>
      </c>
      <c r="BA16">
        <f>G16/S16</f>
        <v>-4.3263037118307412</v>
      </c>
      <c r="BB16">
        <f>(1-AL16*AA16/AQ16/F16)*100</f>
        <v>15.544174181343983</v>
      </c>
      <c r="BC16">
        <f>(S16-E16/(N16/1.35))</f>
        <v>389.56992827852702</v>
      </c>
      <c r="BD16">
        <f>E16*BB16/100/BC16</f>
        <v>9.7018406071078533E-3</v>
      </c>
    </row>
    <row r="17" spans="1:56" x14ac:dyDescent="0.25">
      <c r="A17" s="1" t="s">
        <v>9</v>
      </c>
      <c r="B17" s="1" t="s">
        <v>97</v>
      </c>
    </row>
    <row r="18" spans="1:56" x14ac:dyDescent="0.25">
      <c r="A18" s="1" t="s">
        <v>9</v>
      </c>
      <c r="B18" s="1" t="s">
        <v>98</v>
      </c>
    </row>
    <row r="19" spans="1:56" x14ac:dyDescent="0.25">
      <c r="A19" s="1">
        <v>4</v>
      </c>
      <c r="B19" s="1" t="s">
        <v>99</v>
      </c>
      <c r="C19" s="1">
        <v>394.50000352039933</v>
      </c>
      <c r="D19" s="1">
        <v>0</v>
      </c>
      <c r="E19">
        <f>(R19-S19*(1000-T19)/(1000-U19))*AK19</f>
        <v>24.241264247258432</v>
      </c>
      <c r="F19">
        <f>IF(AV19&lt;&gt;0,1/(1/AV19-1/N19),0)</f>
        <v>1.6697092841506552E-2</v>
      </c>
      <c r="G19">
        <f>((AY19-AL19/2)*S19-E19)/(AY19+AL19/2)</f>
        <v>-1889.1238036659881</v>
      </c>
      <c r="H19">
        <f>AL19*1000</f>
        <v>0.62383363361576327</v>
      </c>
      <c r="I19">
        <f>(AQ19-AW19)</f>
        <v>3.6815634160582578</v>
      </c>
      <c r="J19">
        <f>(P19+AP19*D19)</f>
        <v>30.759078979492188</v>
      </c>
      <c r="K19" s="1">
        <v>6</v>
      </c>
      <c r="L19">
        <f>(K19*AE19+AF19)</f>
        <v>1.4200000166893005</v>
      </c>
      <c r="M19" s="1">
        <v>1</v>
      </c>
      <c r="N19">
        <f>L19*(M19+1)*(M19+1)/(M19*M19+1)</f>
        <v>2.8400000333786011</v>
      </c>
      <c r="O19" s="1">
        <v>28.900571823120117</v>
      </c>
      <c r="P19" s="1">
        <v>30.759078979492188</v>
      </c>
      <c r="Q19" s="1">
        <v>28.803611755371094</v>
      </c>
      <c r="R19" s="1">
        <v>437.48867797851562</v>
      </c>
      <c r="S19" s="1">
        <v>400.78106689453125</v>
      </c>
      <c r="T19" s="1">
        <v>6.7106361389160156</v>
      </c>
      <c r="U19" s="1">
        <v>7.6384978294372559</v>
      </c>
      <c r="V19" s="1">
        <v>16.877937316894531</v>
      </c>
      <c r="W19" s="1">
        <v>19.211605072021484</v>
      </c>
      <c r="X19" s="1">
        <v>400.3194580078125</v>
      </c>
      <c r="Y19" s="1">
        <v>1499.1151123046875</v>
      </c>
      <c r="Z19" s="1">
        <v>0.44157135486602783</v>
      </c>
      <c r="AA19" s="1">
        <v>100.57118988037109</v>
      </c>
      <c r="AB19" s="1">
        <v>70.567420959472656</v>
      </c>
      <c r="AC19" s="1">
        <v>2.0539712905883789</v>
      </c>
      <c r="AD19" s="1">
        <v>1</v>
      </c>
      <c r="AE19" s="1">
        <v>-0.21956524252891541</v>
      </c>
      <c r="AF19" s="1">
        <v>2.737391471862793</v>
      </c>
      <c r="AG19" s="1">
        <v>1</v>
      </c>
      <c r="AH19" s="1">
        <v>0</v>
      </c>
      <c r="AI19" s="1">
        <v>0.15999999642372131</v>
      </c>
      <c r="AJ19" s="1">
        <v>111125</v>
      </c>
      <c r="AK19">
        <f>X19*0.000001/(K19*0.0001)</f>
        <v>0.66719909667968746</v>
      </c>
      <c r="AL19">
        <f>(U19-T19)/(1000-U19)*AK19</f>
        <v>6.2383363361576323E-4</v>
      </c>
      <c r="AM19">
        <f>(P19+273.15)</f>
        <v>303.90907897949216</v>
      </c>
      <c r="AN19">
        <f>(O19+273.15)</f>
        <v>302.05057182312009</v>
      </c>
      <c r="AO19">
        <f>(Y19*AG19+Z19*AH19)*AI19</f>
        <v>239.85841260749658</v>
      </c>
      <c r="AP19">
        <f>((AO19+0.00000010773*(AN19^4-AM19^4))-AL19*44100)/(L19*51.4+0.00000043092*AM19^3)</f>
        <v>2.2339549177342786</v>
      </c>
      <c r="AQ19">
        <f>0.61365*EXP(17.502*J19/(240.97+J19))</f>
        <v>4.4497762316633942</v>
      </c>
      <c r="AR19">
        <f>AQ19*1000/AA19</f>
        <v>44.245039130553991</v>
      </c>
      <c r="AS19">
        <f>(AR19-U19)</f>
        <v>36.606541301116735</v>
      </c>
      <c r="AT19">
        <f>IF(D19,P19,(O19+P19)/2)</f>
        <v>29.829825401306152</v>
      </c>
      <c r="AU19">
        <f>0.61365*EXP(17.502*AT19/(240.97+AT19))</f>
        <v>4.2189821532886036</v>
      </c>
      <c r="AV19">
        <f>IF(AS19&lt;&gt;0,(1000-(AR19+U19)/2)/AS19*AL19,0)</f>
        <v>1.6599500098195056E-2</v>
      </c>
      <c r="AW19">
        <f>U19*AA19/1000</f>
        <v>0.76821281560513666</v>
      </c>
      <c r="AX19">
        <f>(AU19-AW19)</f>
        <v>3.4507693376834672</v>
      </c>
      <c r="AY19">
        <f>1/(1.6/F19+1.37/N19)</f>
        <v>1.0383411740883997E-2</v>
      </c>
      <c r="AZ19">
        <f>G19*AA19*0.001</f>
        <v>-189.99142876602099</v>
      </c>
      <c r="BA19">
        <f>G19/S19</f>
        <v>-4.7136054063230644</v>
      </c>
      <c r="BB19">
        <f>(1-AL19*AA19/AQ19/F19)*100</f>
        <v>15.557061015701844</v>
      </c>
      <c r="BC19">
        <f>(S19-E19/(N19/1.35))</f>
        <v>389.25793085609013</v>
      </c>
      <c r="BD19">
        <f>E19*BB19/100/BC19</f>
        <v>9.6882503116365419E-3</v>
      </c>
    </row>
    <row r="20" spans="1:56" x14ac:dyDescent="0.25">
      <c r="A20" s="1" t="s">
        <v>9</v>
      </c>
      <c r="B20" s="1" t="s">
        <v>100</v>
      </c>
    </row>
    <row r="21" spans="1:56" x14ac:dyDescent="0.25">
      <c r="A21" s="1">
        <v>5</v>
      </c>
      <c r="B21" s="1" t="s">
        <v>101</v>
      </c>
      <c r="C21" s="1">
        <v>493.00000131875277</v>
      </c>
      <c r="D21" s="1">
        <v>0</v>
      </c>
      <c r="E21">
        <f>(R21-S21*(1000-T21)/(1000-U21))*AK21</f>
        <v>25.94882203327013</v>
      </c>
      <c r="F21">
        <f>IF(AV21&lt;&gt;0,1/(1/AV21-1/N21),0)</f>
        <v>2.7963936037535136E-2</v>
      </c>
      <c r="G21">
        <f>((AY21-AL21/2)*S21-E21)/(AY21+AL21/2)</f>
        <v>-1079.8796523417247</v>
      </c>
      <c r="H21">
        <f>AL21*1000</f>
        <v>1.006501716296208</v>
      </c>
      <c r="I21">
        <f>(AQ21-AW21)</f>
        <v>3.5609293563894204</v>
      </c>
      <c r="J21">
        <f>(P21+AP21*D21)</f>
        <v>30.521595001220703</v>
      </c>
      <c r="K21" s="1">
        <v>6</v>
      </c>
      <c r="L21">
        <f>(K21*AE21+AF21)</f>
        <v>1.4200000166893005</v>
      </c>
      <c r="M21" s="1">
        <v>1</v>
      </c>
      <c r="N21">
        <f>L21*(M21+1)*(M21+1)/(M21*M21+1)</f>
        <v>2.8400000333786011</v>
      </c>
      <c r="O21" s="1">
        <v>28.937145233154297</v>
      </c>
      <c r="P21" s="1">
        <v>30.521595001220703</v>
      </c>
      <c r="Q21" s="1">
        <v>28.866298675537109</v>
      </c>
      <c r="R21" s="1">
        <v>437.02529907226562</v>
      </c>
      <c r="S21" s="1">
        <v>397.52651977539062</v>
      </c>
      <c r="T21" s="1">
        <v>6.7443280220031738</v>
      </c>
      <c r="U21" s="1">
        <v>8.2407064437866211</v>
      </c>
      <c r="V21" s="1">
        <v>16.928108215332031</v>
      </c>
      <c r="W21" s="1">
        <v>20.683984756469727</v>
      </c>
      <c r="X21" s="1">
        <v>400.24932861328125</v>
      </c>
      <c r="Y21" s="1">
        <v>1499.7564697265625</v>
      </c>
      <c r="Z21" s="1">
        <v>0.70752871036529541</v>
      </c>
      <c r="AA21" s="1">
        <v>100.57901000976562</v>
      </c>
      <c r="AB21" s="1">
        <v>70.567420959472656</v>
      </c>
      <c r="AC21" s="1">
        <v>2.0539712905883789</v>
      </c>
      <c r="AD21" s="1">
        <v>0.3333333432674408</v>
      </c>
      <c r="AE21" s="1">
        <v>-0.21956524252891541</v>
      </c>
      <c r="AF21" s="1">
        <v>2.737391471862793</v>
      </c>
      <c r="AG21" s="1">
        <v>1</v>
      </c>
      <c r="AH21" s="1">
        <v>0</v>
      </c>
      <c r="AI21" s="1">
        <v>0.15999999642372131</v>
      </c>
      <c r="AJ21" s="1">
        <v>111125</v>
      </c>
      <c r="AK21">
        <f>X21*0.000001/(K21*0.0001)</f>
        <v>0.66708221435546866</v>
      </c>
      <c r="AL21">
        <f>(U21-T21)/(1000-U21)*AK21</f>
        <v>1.006501716296208E-3</v>
      </c>
      <c r="AM21">
        <f>(P21+273.15)</f>
        <v>303.67159500122068</v>
      </c>
      <c r="AN21">
        <f>(O21+273.15)</f>
        <v>302.08714523315427</v>
      </c>
      <c r="AO21">
        <f>(Y21*AG21+Z21*AH21)*AI21</f>
        <v>239.9610297927029</v>
      </c>
      <c r="AP21">
        <f>((AO21+0.00000010773*(AN21^4-AM21^4))-AL21*44100)/(L21*51.4+0.00000043092*AM21^3)</f>
        <v>2.0763372771252953</v>
      </c>
      <c r="AQ21">
        <f>0.61365*EXP(17.502*J21/(240.97+J21))</f>
        <v>4.3897714522865749</v>
      </c>
      <c r="AR21">
        <f>AQ21*1000/AA21</f>
        <v>43.64500557184202</v>
      </c>
      <c r="AS21">
        <f>(AR21-U21)</f>
        <v>35.404299128055399</v>
      </c>
      <c r="AT21">
        <f>IF(D21,P21,(O21+P21)/2)</f>
        <v>29.7293701171875</v>
      </c>
      <c r="AU21">
        <f>0.61365*EXP(17.502*AT21/(240.97+AT21))</f>
        <v>4.1946690096657573</v>
      </c>
      <c r="AV21">
        <f>IF(AS21&lt;&gt;0,(1000-(AR21+U21)/2)/AS21*AL21,0)</f>
        <v>2.7691275109067978E-2</v>
      </c>
      <c r="AW21">
        <f>U21*AA21/1000</f>
        <v>0.82884209589715463</v>
      </c>
      <c r="AX21">
        <f>(AU21-AW21)</f>
        <v>3.3658269137686028</v>
      </c>
      <c r="AY21">
        <f>1/(1.6/F21+1.37/N21)</f>
        <v>1.7331339016306957E-2</v>
      </c>
      <c r="AZ21">
        <f>G21*AA21*0.001</f>
        <v>-108.61322636222056</v>
      </c>
      <c r="BA21">
        <f>G21/S21</f>
        <v>-2.7164971357178271</v>
      </c>
      <c r="BB21">
        <f>(1-AL21*AA21/AQ21/F21)*100</f>
        <v>17.5327207846648</v>
      </c>
      <c r="BC21">
        <f>(S21-E21/(N21/1.35))</f>
        <v>385.19169254539224</v>
      </c>
      <c r="BD21">
        <f>E21*BB21/100/BC21</f>
        <v>1.1811091988871748E-2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M1" sqref="M1:O6"/>
    </sheetView>
  </sheetViews>
  <sheetFormatPr defaultRowHeight="15" x14ac:dyDescent="0.25"/>
  <cols>
    <col min="3" max="3" width="31.75" bestFit="1" customWidth="1"/>
    <col min="9" max="9" width="10.25" customWidth="1"/>
  </cols>
  <sheetData>
    <row r="1" spans="1:15" x14ac:dyDescent="0.25">
      <c r="H1" t="s">
        <v>103</v>
      </c>
      <c r="I1" t="s">
        <v>88</v>
      </c>
      <c r="J1" s="1" t="s">
        <v>104</v>
      </c>
      <c r="M1" t="s">
        <v>103</v>
      </c>
      <c r="N1" t="s">
        <v>88</v>
      </c>
      <c r="O1" s="1" t="s">
        <v>104</v>
      </c>
    </row>
    <row r="2" spans="1:15" x14ac:dyDescent="0.25">
      <c r="A2" t="s">
        <v>87</v>
      </c>
      <c r="B2" t="s">
        <v>84</v>
      </c>
      <c r="C2" t="s">
        <v>85</v>
      </c>
      <c r="D2" t="s">
        <v>86</v>
      </c>
      <c r="H2">
        <v>8.3434169228223585</v>
      </c>
      <c r="I2">
        <v>2.4561465514409293</v>
      </c>
      <c r="J2">
        <v>23.17569146067143</v>
      </c>
      <c r="M2">
        <v>2.3533567837764395</v>
      </c>
      <c r="N2">
        <v>0.45470542510910583</v>
      </c>
      <c r="O2">
        <v>0.56150733786561868</v>
      </c>
    </row>
    <row r="3" spans="1:15" x14ac:dyDescent="0.25">
      <c r="A3" t="s">
        <v>103</v>
      </c>
      <c r="B3">
        <v>1</v>
      </c>
      <c r="C3">
        <v>8.3434169228223585</v>
      </c>
      <c r="D3">
        <v>2.3533567837764395</v>
      </c>
      <c r="H3">
        <v>6.8031627457947321</v>
      </c>
      <c r="I3">
        <v>2.7893480323206661</v>
      </c>
      <c r="J3">
        <v>25.201847761526469</v>
      </c>
      <c r="M3">
        <v>1.9388391931944984</v>
      </c>
      <c r="N3">
        <v>0.45846066428553373</v>
      </c>
      <c r="O3">
        <v>0.91888870078947604</v>
      </c>
    </row>
    <row r="4" spans="1:15" x14ac:dyDescent="0.25">
      <c r="B4">
        <v>2</v>
      </c>
      <c r="C4">
        <v>6.8031627457947321</v>
      </c>
      <c r="D4">
        <v>1.9388391931944984</v>
      </c>
      <c r="H4">
        <v>9.0638463687910509</v>
      </c>
      <c r="I4">
        <v>2.5344319832451907</v>
      </c>
      <c r="J4">
        <v>24.314867457010958</v>
      </c>
      <c r="M4">
        <v>2.2127211265850595</v>
      </c>
      <c r="N4">
        <v>0.39348320796507585</v>
      </c>
      <c r="O4">
        <v>0.67773573280041655</v>
      </c>
    </row>
    <row r="5" spans="1:15" x14ac:dyDescent="0.25">
      <c r="B5">
        <v>3</v>
      </c>
      <c r="C5">
        <v>9.0638463687910509</v>
      </c>
      <c r="D5">
        <v>2.2127211265850595</v>
      </c>
      <c r="H5">
        <v>7.3779493397003506</v>
      </c>
      <c r="I5">
        <v>3.0101770141297313</v>
      </c>
      <c r="J5">
        <v>24.241264247258432</v>
      </c>
      <c r="M5">
        <v>1.9194891568835624</v>
      </c>
      <c r="N5">
        <v>0.48361463787214881</v>
      </c>
      <c r="O5">
        <v>0.62383363361576327</v>
      </c>
    </row>
    <row r="6" spans="1:15" x14ac:dyDescent="0.25">
      <c r="B6">
        <v>4</v>
      </c>
      <c r="C6">
        <v>7.3779493397003506</v>
      </c>
      <c r="D6">
        <v>1.9194891568835624</v>
      </c>
      <c r="H6">
        <v>5.9972961709073793</v>
      </c>
      <c r="I6">
        <v>3.167999525276977</v>
      </c>
      <c r="J6">
        <v>25.94882203327013</v>
      </c>
      <c r="M6">
        <v>1.4111659076051584</v>
      </c>
      <c r="N6">
        <v>0.47553884462295576</v>
      </c>
      <c r="O6">
        <v>1.006501716296208</v>
      </c>
    </row>
    <row r="7" spans="1:15" x14ac:dyDescent="0.25">
      <c r="B7">
        <v>5</v>
      </c>
      <c r="C7">
        <v>5.9972961709073793</v>
      </c>
      <c r="D7">
        <v>1.4111659076051584</v>
      </c>
      <c r="J7" s="1"/>
    </row>
    <row r="8" spans="1:15" x14ac:dyDescent="0.25">
      <c r="B8" t="s">
        <v>84</v>
      </c>
    </row>
    <row r="9" spans="1:15" x14ac:dyDescent="0.25">
      <c r="A9" t="s">
        <v>88</v>
      </c>
      <c r="B9">
        <v>6</v>
      </c>
      <c r="C9">
        <v>2.4561465514409293</v>
      </c>
      <c r="D9">
        <v>0.45470542510910583</v>
      </c>
      <c r="J9" s="1"/>
      <c r="K9" s="1"/>
      <c r="L9" s="1"/>
    </row>
    <row r="10" spans="1:15" x14ac:dyDescent="0.25">
      <c r="B10">
        <v>7</v>
      </c>
      <c r="C10">
        <v>2.7893480323206661</v>
      </c>
      <c r="D10">
        <v>0.45846066428553373</v>
      </c>
      <c r="J10" s="1"/>
      <c r="K10" s="1"/>
      <c r="L10" s="1"/>
    </row>
    <row r="11" spans="1:15" x14ac:dyDescent="0.25">
      <c r="B11">
        <v>8</v>
      </c>
      <c r="C11">
        <v>2.5344319832451907</v>
      </c>
      <c r="D11">
        <v>0.39348320796507585</v>
      </c>
      <c r="J11" s="1"/>
    </row>
    <row r="12" spans="1:15" x14ac:dyDescent="0.25">
      <c r="B12">
        <v>9</v>
      </c>
      <c r="C12">
        <v>3.0101770141297313</v>
      </c>
      <c r="D12">
        <v>0.48361463787214881</v>
      </c>
      <c r="J12" s="1"/>
    </row>
    <row r="13" spans="1:15" x14ac:dyDescent="0.25">
      <c r="B13">
        <v>10</v>
      </c>
      <c r="C13">
        <v>3.167999525276977</v>
      </c>
      <c r="D13">
        <v>0.47553884462295576</v>
      </c>
      <c r="J13" s="1"/>
    </row>
    <row r="14" spans="1:15" x14ac:dyDescent="0.25">
      <c r="B14" t="s">
        <v>84</v>
      </c>
      <c r="J14" s="1"/>
    </row>
    <row r="15" spans="1:15" x14ac:dyDescent="0.25">
      <c r="A15" t="s">
        <v>102</v>
      </c>
      <c r="B15" s="1">
        <v>1</v>
      </c>
      <c r="C15">
        <v>23.17569146067143</v>
      </c>
      <c r="D15">
        <v>0.56150733786561868</v>
      </c>
      <c r="J15" s="1"/>
    </row>
    <row r="16" spans="1:15" x14ac:dyDescent="0.25">
      <c r="B16" s="1">
        <v>2</v>
      </c>
      <c r="C16">
        <v>25.201847761526469</v>
      </c>
      <c r="D16">
        <v>0.91888870078947604</v>
      </c>
    </row>
    <row r="17" spans="2:10" x14ac:dyDescent="0.25">
      <c r="B17" s="1">
        <v>3</v>
      </c>
      <c r="C17">
        <v>24.314867457010958</v>
      </c>
      <c r="D17">
        <v>0.67773573280041655</v>
      </c>
      <c r="J17" s="1"/>
    </row>
    <row r="18" spans="2:10" x14ac:dyDescent="0.25">
      <c r="B18" s="1">
        <v>4</v>
      </c>
      <c r="C18">
        <v>24.241264247258432</v>
      </c>
      <c r="D18">
        <v>0.62383363361576327</v>
      </c>
      <c r="J18" s="1"/>
    </row>
    <row r="19" spans="2:10" x14ac:dyDescent="0.25">
      <c r="B19" s="1">
        <v>5</v>
      </c>
      <c r="C19">
        <v>25.94882203327013</v>
      </c>
      <c r="D19">
        <v>1.006501716296208</v>
      </c>
      <c r="J19" s="1"/>
    </row>
    <row r="20" spans="2:10" x14ac:dyDescent="0.25">
      <c r="J20" s="1"/>
    </row>
    <row r="21" spans="2:10" x14ac:dyDescent="0.25">
      <c r="J2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3" sqref="A3:G16"/>
    </sheetView>
  </sheetViews>
  <sheetFormatPr defaultRowHeight="15" x14ac:dyDescent="0.25"/>
  <sheetData>
    <row r="1" spans="1:7" x14ac:dyDescent="0.25">
      <c r="A1" t="s">
        <v>105</v>
      </c>
    </row>
    <row r="2" spans="1:7" x14ac:dyDescent="0.25">
      <c r="A2" s="5" t="s">
        <v>124</v>
      </c>
    </row>
    <row r="3" spans="1:7" ht="15.75" thickBot="1" x14ac:dyDescent="0.3">
      <c r="A3" t="s">
        <v>106</v>
      </c>
    </row>
    <row r="4" spans="1:7" x14ac:dyDescent="0.25">
      <c r="A4" s="4" t="s">
        <v>107</v>
      </c>
      <c r="B4" s="4" t="s">
        <v>108</v>
      </c>
      <c r="C4" s="4" t="s">
        <v>109</v>
      </c>
      <c r="D4" s="4" t="s">
        <v>110</v>
      </c>
      <c r="E4" s="4" t="s">
        <v>111</v>
      </c>
    </row>
    <row r="5" spans="1:7" x14ac:dyDescent="0.25">
      <c r="A5" s="2" t="s">
        <v>103</v>
      </c>
      <c r="B5" s="2">
        <v>5</v>
      </c>
      <c r="C5" s="2">
        <v>37.585671548015867</v>
      </c>
      <c r="D5" s="2">
        <v>7.5171343096031737</v>
      </c>
      <c r="E5" s="2">
        <v>1.4785242421384623</v>
      </c>
    </row>
    <row r="6" spans="1:7" x14ac:dyDescent="0.25">
      <c r="A6" s="2" t="s">
        <v>88</v>
      </c>
      <c r="B6" s="2">
        <v>5</v>
      </c>
      <c r="C6" s="2">
        <v>13.958103106413494</v>
      </c>
      <c r="D6" s="2">
        <v>2.7916206212826991</v>
      </c>
      <c r="E6" s="2">
        <v>9.2030496989654903E-2</v>
      </c>
    </row>
    <row r="7" spans="1:7" ht="15.75" thickBot="1" x14ac:dyDescent="0.3">
      <c r="A7" s="3" t="s">
        <v>104</v>
      </c>
      <c r="B7" s="3">
        <v>5</v>
      </c>
      <c r="C7" s="3">
        <v>122.88249295973742</v>
      </c>
      <c r="D7" s="3">
        <v>24.576498591947484</v>
      </c>
      <c r="E7" s="3">
        <v>1.1043566867894687</v>
      </c>
    </row>
    <row r="10" spans="1:7" ht="15.75" thickBot="1" x14ac:dyDescent="0.3">
      <c r="A10" t="s">
        <v>112</v>
      </c>
    </row>
    <row r="11" spans="1:7" x14ac:dyDescent="0.25">
      <c r="A11" s="4" t="s">
        <v>113</v>
      </c>
      <c r="B11" s="4" t="s">
        <v>114</v>
      </c>
      <c r="C11" s="4" t="s">
        <v>115</v>
      </c>
      <c r="D11" s="4" t="s">
        <v>116</v>
      </c>
      <c r="E11" s="4" t="s">
        <v>117</v>
      </c>
      <c r="F11" s="4" t="s">
        <v>118</v>
      </c>
      <c r="G11" s="4" t="s">
        <v>119</v>
      </c>
    </row>
    <row r="12" spans="1:7" x14ac:dyDescent="0.25">
      <c r="A12" s="2" t="s">
        <v>120</v>
      </c>
      <c r="B12" s="2">
        <v>1313.2221625549746</v>
      </c>
      <c r="C12" s="2">
        <v>2</v>
      </c>
      <c r="D12" s="2">
        <v>656.6110812774873</v>
      </c>
      <c r="E12" s="2">
        <v>736.41064326335993</v>
      </c>
      <c r="F12" s="2">
        <v>2.7863929734115001E-13</v>
      </c>
      <c r="G12" s="2">
        <v>3.8852938346523942</v>
      </c>
    </row>
    <row r="13" spans="1:7" x14ac:dyDescent="0.25">
      <c r="A13" s="2" t="s">
        <v>121</v>
      </c>
      <c r="B13" s="2">
        <v>10.699645703670241</v>
      </c>
      <c r="C13" s="2">
        <v>12</v>
      </c>
      <c r="D13" s="2">
        <v>0.89163714197252009</v>
      </c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15.75" thickBot="1" x14ac:dyDescent="0.3">
      <c r="A15" s="3" t="s">
        <v>122</v>
      </c>
      <c r="B15" s="3">
        <v>1323.9218082586449</v>
      </c>
      <c r="C15" s="3">
        <v>14</v>
      </c>
      <c r="D15" s="3"/>
      <c r="E15" s="3"/>
      <c r="F15" s="3"/>
      <c r="G15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"/>
    </sheetView>
  </sheetViews>
  <sheetFormatPr defaultRowHeight="15" x14ac:dyDescent="0.25"/>
  <sheetData>
    <row r="1" spans="1:7" x14ac:dyDescent="0.25">
      <c r="A1" t="s">
        <v>105</v>
      </c>
    </row>
    <row r="2" spans="1:7" x14ac:dyDescent="0.25">
      <c r="A2" s="5" t="s">
        <v>123</v>
      </c>
    </row>
    <row r="3" spans="1:7" ht="15.75" thickBot="1" x14ac:dyDescent="0.3">
      <c r="A3" t="s">
        <v>106</v>
      </c>
    </row>
    <row r="4" spans="1:7" x14ac:dyDescent="0.25">
      <c r="A4" s="4" t="s">
        <v>107</v>
      </c>
      <c r="B4" s="4" t="s">
        <v>108</v>
      </c>
      <c r="C4" s="4" t="s">
        <v>109</v>
      </c>
      <c r="D4" s="4" t="s">
        <v>110</v>
      </c>
      <c r="E4" s="4" t="s">
        <v>111</v>
      </c>
    </row>
    <row r="5" spans="1:7" x14ac:dyDescent="0.25">
      <c r="A5" s="2" t="s">
        <v>103</v>
      </c>
      <c r="B5" s="2">
        <v>5</v>
      </c>
      <c r="C5" s="2">
        <v>9.8355721680447168</v>
      </c>
      <c r="D5" s="2">
        <v>1.9671144336089434</v>
      </c>
      <c r="E5" s="2">
        <v>0.13041305511675638</v>
      </c>
    </row>
    <row r="6" spans="1:7" x14ac:dyDescent="0.25">
      <c r="A6" s="2" t="s">
        <v>88</v>
      </c>
      <c r="B6" s="2">
        <v>5</v>
      </c>
      <c r="C6" s="2">
        <v>2.2658027798548201</v>
      </c>
      <c r="D6" s="2">
        <v>0.45316055597096405</v>
      </c>
      <c r="E6" s="2">
        <v>1.2550256353129929E-3</v>
      </c>
    </row>
    <row r="7" spans="1:7" ht="15.75" thickBot="1" x14ac:dyDescent="0.3">
      <c r="A7" s="3" t="s">
        <v>104</v>
      </c>
      <c r="B7" s="3">
        <v>5</v>
      </c>
      <c r="C7" s="3">
        <v>3.7884671213674821</v>
      </c>
      <c r="D7" s="3">
        <v>0.7576934242734964</v>
      </c>
      <c r="E7" s="3">
        <v>3.7672534957749582E-2</v>
      </c>
    </row>
    <row r="10" spans="1:7" ht="15.75" thickBot="1" x14ac:dyDescent="0.3">
      <c r="A10" t="s">
        <v>112</v>
      </c>
    </row>
    <row r="11" spans="1:7" x14ac:dyDescent="0.25">
      <c r="A11" s="4" t="s">
        <v>113</v>
      </c>
      <c r="B11" s="4" t="s">
        <v>114</v>
      </c>
      <c r="C11" s="4" t="s">
        <v>115</v>
      </c>
      <c r="D11" s="4" t="s">
        <v>116</v>
      </c>
      <c r="E11" s="4" t="s">
        <v>117</v>
      </c>
      <c r="F11" s="4" t="s">
        <v>118</v>
      </c>
      <c r="G11" s="4" t="s">
        <v>119</v>
      </c>
    </row>
    <row r="12" spans="1:7" x14ac:dyDescent="0.25">
      <c r="A12" s="2" t="s">
        <v>120</v>
      </c>
      <c r="B12" s="2">
        <v>6.412492982189355</v>
      </c>
      <c r="C12" s="2">
        <v>2</v>
      </c>
      <c r="D12" s="2">
        <v>3.2062464910946775</v>
      </c>
      <c r="E12" s="2">
        <v>56.801136767842721</v>
      </c>
      <c r="F12" s="2">
        <v>7.6050569796175539E-7</v>
      </c>
      <c r="G12" s="2">
        <v>3.8852938346523942</v>
      </c>
    </row>
    <row r="13" spans="1:7" x14ac:dyDescent="0.25">
      <c r="A13" s="2" t="s">
        <v>121</v>
      </c>
      <c r="B13" s="2">
        <v>0.67736246283926949</v>
      </c>
      <c r="C13" s="2">
        <v>12</v>
      </c>
      <c r="D13" s="2">
        <v>5.6446871903272459E-2</v>
      </c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ht="15.75" thickBot="1" x14ac:dyDescent="0.3">
      <c r="A15" s="3" t="s">
        <v>122</v>
      </c>
      <c r="B15" s="3">
        <v>7.0898554450286246</v>
      </c>
      <c r="C15" s="3">
        <v>14</v>
      </c>
      <c r="D15" s="3"/>
      <c r="E15" s="3"/>
      <c r="F15" s="3"/>
      <c r="G1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oct252016_</vt:lpstr>
      <vt:lpstr>Rawdata</vt:lpstr>
      <vt:lpstr>Data4ANOVA</vt:lpstr>
      <vt:lpstr>ANOVA_Photo</vt:lpstr>
      <vt:lpstr>ANOVA_Transpiration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Hui, Dafeng</dc:creator>
  <cp:lastModifiedBy>Hui, Dafeng</cp:lastModifiedBy>
  <dcterms:created xsi:type="dcterms:W3CDTF">2016-11-04T22:08:38Z</dcterms:created>
  <dcterms:modified xsi:type="dcterms:W3CDTF">2016-11-04T23:01:48Z</dcterms:modified>
</cp:coreProperties>
</file>